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atran2\Desktop\Active Projects\FY2019 SIF Form\"/>
    </mc:Choice>
  </mc:AlternateContent>
  <xr:revisionPtr revIDLastSave="0" documentId="13_ncr:1_{DD8048C5-CD6F-4C67-B843-4BCEF4EDBA54}" xr6:coauthVersionLast="47" xr6:coauthVersionMax="47" xr10:uidLastSave="{00000000-0000-0000-0000-000000000000}"/>
  <bookViews>
    <workbookView xWindow="2700" yWindow="165" windowWidth="24180" windowHeight="20160" tabRatio="85" xr2:uid="{6C26C34C-BEC9-4EFC-83C9-9750B6C416B2}"/>
  </bookViews>
  <sheets>
    <sheet name="Home" sheetId="3" r:id="rId1"/>
    <sheet name="FRGN" sheetId="22" r:id="rId2"/>
    <sheet name="CPNY" sheetId="1" r:id="rId3"/>
    <sheet name="INDV" sheetId="23" r:id="rId4"/>
    <sheet name="STPT" sheetId="24" r:id="rId5"/>
    <sheet name="Drop Down" sheetId="15" state="hidden" r:id="rId6"/>
  </sheets>
  <definedNames>
    <definedName name="_xlnm._FilterDatabase" localSheetId="2" hidden="1">CPNY!$B$2:$F$102</definedName>
    <definedName name="_xlnm._FilterDatabase" localSheetId="1" hidden="1">FRGN!$B$2:$F$42</definedName>
    <definedName name="_xlnm._FilterDatabase" localSheetId="3" hidden="1">INDV!$B$2:$F$102</definedName>
    <definedName name="_xlnm._FilterDatabase" localSheetId="4" hidden="1">STPT!$B$2:$F$102</definedName>
    <definedName name="_xlnm.Print_Area" localSheetId="2">CPNY!$A$1:$I$102</definedName>
    <definedName name="_xlnm.Print_Area" localSheetId="1">FRGN!$A$1:$H$72</definedName>
    <definedName name="_xlnm.Print_Area" localSheetId="3">INDV!$A$1:$I$102</definedName>
    <definedName name="_xlnm.Print_Area" localSheetId="4">STPT!$A$1:$I$102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22" l="1"/>
  <c r="G17" i="22"/>
  <c r="C12" i="1"/>
  <c r="B2" i="24"/>
  <c r="B2" i="23"/>
  <c r="C102" i="24"/>
  <c r="G99" i="24"/>
  <c r="G97" i="24"/>
  <c r="C96" i="24"/>
  <c r="C95" i="24"/>
  <c r="G89" i="24"/>
  <c r="C89" i="24"/>
  <c r="G88" i="24"/>
  <c r="C88" i="24"/>
  <c r="G87" i="24"/>
  <c r="G86" i="24"/>
  <c r="C86" i="24"/>
  <c r="G85" i="24"/>
  <c r="C85" i="24"/>
  <c r="G84" i="24"/>
  <c r="G83" i="24"/>
  <c r="C83" i="24"/>
  <c r="C82" i="24"/>
  <c r="G81" i="24"/>
  <c r="G80" i="24"/>
  <c r="G79" i="24"/>
  <c r="G75" i="24"/>
  <c r="G72" i="24"/>
  <c r="G71" i="24"/>
  <c r="G70" i="24"/>
  <c r="G69" i="24"/>
  <c r="G68" i="24"/>
  <c r="C68" i="24"/>
  <c r="G66" i="24"/>
  <c r="G65" i="24"/>
  <c r="G64" i="24"/>
  <c r="G63" i="24"/>
  <c r="G56" i="24"/>
  <c r="C56" i="24"/>
  <c r="G55" i="24"/>
  <c r="C55" i="24"/>
  <c r="G54" i="24"/>
  <c r="G53" i="24"/>
  <c r="G52" i="24"/>
  <c r="G51" i="24"/>
  <c r="C51" i="24"/>
  <c r="G50" i="24"/>
  <c r="C50" i="24"/>
  <c r="G47" i="24"/>
  <c r="C47" i="24"/>
  <c r="G46" i="24"/>
  <c r="G45" i="24"/>
  <c r="G44" i="24"/>
  <c r="G43" i="24"/>
  <c r="C43" i="24"/>
  <c r="G42" i="24"/>
  <c r="C42" i="24"/>
  <c r="G40" i="24"/>
  <c r="C40" i="24"/>
  <c r="G39" i="24"/>
  <c r="C39" i="24"/>
  <c r="C36" i="24"/>
  <c r="C35" i="24"/>
  <c r="C31" i="24"/>
  <c r="C30" i="24"/>
  <c r="G28" i="24"/>
  <c r="G27" i="24"/>
  <c r="G26" i="24"/>
  <c r="G25" i="24"/>
  <c r="G24" i="24"/>
  <c r="G23" i="24"/>
  <c r="G22" i="24"/>
  <c r="G21" i="24"/>
  <c r="G19" i="24"/>
  <c r="G17" i="24"/>
  <c r="C17" i="24"/>
  <c r="C15" i="24"/>
  <c r="C14" i="24"/>
  <c r="C12" i="24"/>
  <c r="G9" i="24"/>
  <c r="B8" i="24"/>
  <c r="G7" i="24"/>
  <c r="D7" i="24"/>
  <c r="B7" i="24"/>
  <c r="B6" i="24"/>
  <c r="G5" i="24"/>
  <c r="E5" i="24"/>
  <c r="D5" i="24"/>
  <c r="B5" i="24"/>
  <c r="G4" i="24"/>
  <c r="B4" i="24"/>
  <c r="B3" i="24"/>
  <c r="J2" i="24"/>
  <c r="G1" i="24"/>
  <c r="C102" i="23"/>
  <c r="G99" i="23"/>
  <c r="G97" i="23"/>
  <c r="C96" i="23"/>
  <c r="C95" i="23"/>
  <c r="G89" i="23"/>
  <c r="C89" i="23"/>
  <c r="G88" i="23"/>
  <c r="C88" i="23"/>
  <c r="G87" i="23"/>
  <c r="G86" i="23"/>
  <c r="C86" i="23"/>
  <c r="G85" i="23"/>
  <c r="C85" i="23"/>
  <c r="G84" i="23"/>
  <c r="G83" i="23"/>
  <c r="C83" i="23"/>
  <c r="C82" i="23"/>
  <c r="G81" i="23"/>
  <c r="G80" i="23"/>
  <c r="G79" i="23"/>
  <c r="G75" i="23"/>
  <c r="G72" i="23"/>
  <c r="G71" i="23"/>
  <c r="G70" i="23"/>
  <c r="G69" i="23"/>
  <c r="G68" i="23"/>
  <c r="C68" i="23"/>
  <c r="G66" i="23"/>
  <c r="G65" i="23"/>
  <c r="G64" i="23"/>
  <c r="G63" i="23"/>
  <c r="G56" i="23"/>
  <c r="C56" i="23"/>
  <c r="G55" i="23"/>
  <c r="C55" i="23"/>
  <c r="G54" i="23"/>
  <c r="G53" i="23"/>
  <c r="G52" i="23"/>
  <c r="G51" i="23"/>
  <c r="C51" i="23"/>
  <c r="G50" i="23"/>
  <c r="C50" i="23"/>
  <c r="G47" i="23"/>
  <c r="C47" i="23"/>
  <c r="G46" i="23"/>
  <c r="G45" i="23"/>
  <c r="G44" i="23"/>
  <c r="G43" i="23"/>
  <c r="C43" i="23"/>
  <c r="G42" i="23"/>
  <c r="C42" i="23"/>
  <c r="G40" i="23"/>
  <c r="C40" i="23"/>
  <c r="G39" i="23"/>
  <c r="C39" i="23"/>
  <c r="C36" i="23"/>
  <c r="C35" i="23"/>
  <c r="C31" i="23"/>
  <c r="C30" i="23"/>
  <c r="G28" i="23"/>
  <c r="G27" i="23"/>
  <c r="G26" i="23"/>
  <c r="G25" i="23"/>
  <c r="G24" i="23"/>
  <c r="G23" i="23"/>
  <c r="G22" i="23"/>
  <c r="G21" i="23"/>
  <c r="G19" i="23"/>
  <c r="G17" i="23"/>
  <c r="C17" i="23"/>
  <c r="C15" i="23"/>
  <c r="C14" i="23"/>
  <c r="C12" i="23"/>
  <c r="G9" i="23"/>
  <c r="B8" i="23"/>
  <c r="G7" i="23"/>
  <c r="D7" i="23"/>
  <c r="B7" i="23"/>
  <c r="B6" i="23"/>
  <c r="G5" i="23"/>
  <c r="E5" i="23"/>
  <c r="B5" i="23" s="1"/>
  <c r="D5" i="23"/>
  <c r="G4" i="23"/>
  <c r="B4" i="23"/>
  <c r="B3" i="23"/>
  <c r="J2" i="23"/>
  <c r="G1" i="23"/>
  <c r="D102" i="24" l="1"/>
  <c r="B102" i="24" s="1"/>
  <c r="E63" i="24"/>
  <c r="D35" i="23"/>
  <c r="B35" i="23" s="1"/>
  <c r="E14" i="23"/>
  <c r="E14" i="24"/>
  <c r="E30" i="24"/>
  <c r="D15" i="24"/>
  <c r="E50" i="24"/>
  <c r="E34" i="23"/>
  <c r="D35" i="24"/>
  <c r="B35" i="24" s="1"/>
  <c r="D54" i="23"/>
  <c r="D9" i="24"/>
  <c r="E9" i="24"/>
  <c r="D9" i="23"/>
  <c r="E30" i="23"/>
  <c r="D54" i="24"/>
  <c r="E10" i="24"/>
  <c r="D25" i="24"/>
  <c r="B25" i="24" s="1"/>
  <c r="E13" i="24"/>
  <c r="E50" i="23"/>
  <c r="D102" i="23"/>
  <c r="B102" i="23" s="1"/>
  <c r="D14" i="24"/>
  <c r="D78" i="24"/>
  <c r="D85" i="24"/>
  <c r="D91" i="24"/>
  <c r="E98" i="24"/>
  <c r="D10" i="24"/>
  <c r="D20" i="24"/>
  <c r="B20" i="24" s="1"/>
  <c r="D41" i="24"/>
  <c r="B41" i="24" s="1"/>
  <c r="D46" i="24"/>
  <c r="B46" i="24" s="1"/>
  <c r="E54" i="24"/>
  <c r="D58" i="24"/>
  <c r="D68" i="24"/>
  <c r="B68" i="24" s="1"/>
  <c r="D73" i="24"/>
  <c r="B73" i="24" s="1"/>
  <c r="E78" i="24"/>
  <c r="E85" i="24"/>
  <c r="D88" i="24"/>
  <c r="E91" i="24"/>
  <c r="D95" i="24"/>
  <c r="F98" i="24"/>
  <c r="D26" i="24"/>
  <c r="B26" i="24" s="1"/>
  <c r="E58" i="24"/>
  <c r="D64" i="24"/>
  <c r="F78" i="24"/>
  <c r="D82" i="24"/>
  <c r="B82" i="24" s="1"/>
  <c r="F85" i="24"/>
  <c r="E88" i="24"/>
  <c r="F91" i="24"/>
  <c r="E95" i="24"/>
  <c r="E15" i="24"/>
  <c r="D21" i="24"/>
  <c r="B21" i="24" s="1"/>
  <c r="D31" i="24"/>
  <c r="D36" i="24"/>
  <c r="B36" i="24" s="1"/>
  <c r="E64" i="24"/>
  <c r="D74" i="24"/>
  <c r="F88" i="24"/>
  <c r="F95" i="24"/>
  <c r="D99" i="24"/>
  <c r="D11" i="24"/>
  <c r="D59" i="24"/>
  <c r="D69" i="24"/>
  <c r="B69" i="24" s="1"/>
  <c r="E74" i="24"/>
  <c r="D79" i="24"/>
  <c r="D92" i="24"/>
  <c r="E99" i="24"/>
  <c r="E31" i="24"/>
  <c r="D42" i="24"/>
  <c r="B42" i="24" s="1"/>
  <c r="D51" i="24"/>
  <c r="E11" i="24"/>
  <c r="D16" i="24"/>
  <c r="B16" i="24" s="1"/>
  <c r="D27" i="24"/>
  <c r="B27" i="24" s="1"/>
  <c r="D37" i="24"/>
  <c r="B37" i="24" s="1"/>
  <c r="D47" i="24"/>
  <c r="B47" i="24" s="1"/>
  <c r="E51" i="24"/>
  <c r="D55" i="24"/>
  <c r="E59" i="24"/>
  <c r="E79" i="24"/>
  <c r="D83" i="24"/>
  <c r="E92" i="24"/>
  <c r="F99" i="24"/>
  <c r="E55" i="24"/>
  <c r="D65" i="24"/>
  <c r="D75" i="24"/>
  <c r="F79" i="24"/>
  <c r="E83" i="24"/>
  <c r="D86" i="24"/>
  <c r="F92" i="24"/>
  <c r="D96" i="24"/>
  <c r="D22" i="24"/>
  <c r="B22" i="24" s="1"/>
  <c r="E32" i="24"/>
  <c r="D60" i="24"/>
  <c r="E65" i="24"/>
  <c r="D70" i="24"/>
  <c r="B70" i="24" s="1"/>
  <c r="E75" i="24"/>
  <c r="F83" i="24"/>
  <c r="E86" i="24"/>
  <c r="D89" i="24"/>
  <c r="E96" i="24"/>
  <c r="D17" i="24"/>
  <c r="D28" i="24"/>
  <c r="B28" i="24" s="1"/>
  <c r="D43" i="24"/>
  <c r="B43" i="24" s="1"/>
  <c r="D48" i="24"/>
  <c r="D52" i="24"/>
  <c r="E60" i="24"/>
  <c r="F86" i="24"/>
  <c r="E89" i="24"/>
  <c r="D93" i="24"/>
  <c r="F96" i="24"/>
  <c r="D100" i="24"/>
  <c r="E17" i="24"/>
  <c r="D23" i="24"/>
  <c r="B23" i="24" s="1"/>
  <c r="D33" i="24"/>
  <c r="E48" i="24"/>
  <c r="E52" i="24"/>
  <c r="D80" i="24"/>
  <c r="F89" i="24"/>
  <c r="E93" i="24"/>
  <c r="E100" i="24"/>
  <c r="D32" i="24"/>
  <c r="B32" i="24" s="1"/>
  <c r="D38" i="24"/>
  <c r="B38" i="24" s="1"/>
  <c r="D12" i="24"/>
  <c r="B12" i="24" s="1"/>
  <c r="D13" i="24"/>
  <c r="E33" i="24"/>
  <c r="D39" i="24"/>
  <c r="B39" i="24" s="1"/>
  <c r="D56" i="24"/>
  <c r="D61" i="24"/>
  <c r="B61" i="24" s="1"/>
  <c r="D66" i="24"/>
  <c r="D71" i="24"/>
  <c r="B71" i="24" s="1"/>
  <c r="D76" i="24"/>
  <c r="E80" i="24"/>
  <c r="D84" i="24"/>
  <c r="F93" i="24"/>
  <c r="D97" i="24"/>
  <c r="F100" i="24"/>
  <c r="D29" i="24"/>
  <c r="D44" i="24"/>
  <c r="B44" i="24" s="1"/>
  <c r="D49" i="24"/>
  <c r="E56" i="24"/>
  <c r="E66" i="24"/>
  <c r="E76" i="24"/>
  <c r="F80" i="24"/>
  <c r="E84" i="24"/>
  <c r="D87" i="24"/>
  <c r="E97" i="24"/>
  <c r="D18" i="24"/>
  <c r="B18" i="24" s="1"/>
  <c r="D24" i="24"/>
  <c r="B24" i="24" s="1"/>
  <c r="E29" i="24"/>
  <c r="D34" i="24"/>
  <c r="E49" i="24"/>
  <c r="D53" i="24"/>
  <c r="D62" i="24"/>
  <c r="B62" i="24" s="1"/>
  <c r="F84" i="24"/>
  <c r="E87" i="24"/>
  <c r="D90" i="24"/>
  <c r="D94" i="24"/>
  <c r="F97" i="24"/>
  <c r="D101" i="24"/>
  <c r="B101" i="24" s="1"/>
  <c r="E34" i="24"/>
  <c r="E53" i="24"/>
  <c r="D72" i="24"/>
  <c r="D77" i="24"/>
  <c r="F87" i="24"/>
  <c r="E90" i="24"/>
  <c r="E94" i="24"/>
  <c r="D19" i="24"/>
  <c r="B19" i="24" s="1"/>
  <c r="D40" i="24"/>
  <c r="B40" i="24" s="1"/>
  <c r="D45" i="24"/>
  <c r="B45" i="24" s="1"/>
  <c r="D57" i="24"/>
  <c r="D63" i="24"/>
  <c r="B63" i="24" s="1"/>
  <c r="D67" i="24"/>
  <c r="B67" i="24" s="1"/>
  <c r="E72" i="24"/>
  <c r="E77" i="24"/>
  <c r="D81" i="24"/>
  <c r="B81" i="24" s="1"/>
  <c r="F90" i="24"/>
  <c r="F94" i="24"/>
  <c r="D30" i="24"/>
  <c r="B30" i="24" s="1"/>
  <c r="D50" i="24"/>
  <c r="B50" i="24" s="1"/>
  <c r="E57" i="24"/>
  <c r="D98" i="24"/>
  <c r="D85" i="23"/>
  <c r="D91" i="23"/>
  <c r="E98" i="23"/>
  <c r="D10" i="23"/>
  <c r="D20" i="23"/>
  <c r="B20" i="23" s="1"/>
  <c r="D41" i="23"/>
  <c r="B41" i="23" s="1"/>
  <c r="D46" i="23"/>
  <c r="B46" i="23" s="1"/>
  <c r="E54" i="23"/>
  <c r="D58" i="23"/>
  <c r="D68" i="23"/>
  <c r="B68" i="23" s="1"/>
  <c r="D73" i="23"/>
  <c r="B73" i="23" s="1"/>
  <c r="E78" i="23"/>
  <c r="E85" i="23"/>
  <c r="D88" i="23"/>
  <c r="E91" i="23"/>
  <c r="D95" i="23"/>
  <c r="F98" i="23"/>
  <c r="D78" i="23"/>
  <c r="E10" i="23"/>
  <c r="D15" i="23"/>
  <c r="D26" i="23"/>
  <c r="B26" i="23" s="1"/>
  <c r="E58" i="23"/>
  <c r="D64" i="23"/>
  <c r="F78" i="23"/>
  <c r="D82" i="23"/>
  <c r="B82" i="23" s="1"/>
  <c r="F85" i="23"/>
  <c r="E88" i="23"/>
  <c r="F91" i="23"/>
  <c r="E95" i="23"/>
  <c r="D21" i="23"/>
  <c r="B21" i="23" s="1"/>
  <c r="D31" i="23"/>
  <c r="D36" i="23"/>
  <c r="B36" i="23" s="1"/>
  <c r="E64" i="23"/>
  <c r="D74" i="23"/>
  <c r="F88" i="23"/>
  <c r="F95" i="23"/>
  <c r="D99" i="23"/>
  <c r="E15" i="23"/>
  <c r="D11" i="23"/>
  <c r="E31" i="23"/>
  <c r="D42" i="23"/>
  <c r="B42" i="23" s="1"/>
  <c r="D51" i="23"/>
  <c r="D59" i="23"/>
  <c r="D69" i="23"/>
  <c r="B69" i="23" s="1"/>
  <c r="E74" i="23"/>
  <c r="D79" i="23"/>
  <c r="D92" i="23"/>
  <c r="E99" i="23"/>
  <c r="D37" i="23"/>
  <c r="B37" i="23" s="1"/>
  <c r="D47" i="23"/>
  <c r="B47" i="23" s="1"/>
  <c r="E51" i="23"/>
  <c r="D55" i="23"/>
  <c r="E59" i="23"/>
  <c r="E79" i="23"/>
  <c r="D83" i="23"/>
  <c r="E92" i="23"/>
  <c r="F99" i="23"/>
  <c r="D27" i="23"/>
  <c r="B27" i="23" s="1"/>
  <c r="D22" i="23"/>
  <c r="B22" i="23" s="1"/>
  <c r="D32" i="23"/>
  <c r="E55" i="23"/>
  <c r="D65" i="23"/>
  <c r="D75" i="23"/>
  <c r="F79" i="23"/>
  <c r="E83" i="23"/>
  <c r="D86" i="23"/>
  <c r="F92" i="23"/>
  <c r="D96" i="23"/>
  <c r="E32" i="23"/>
  <c r="D38" i="23"/>
  <c r="B38" i="23" s="1"/>
  <c r="D60" i="23"/>
  <c r="E65" i="23"/>
  <c r="D70" i="23"/>
  <c r="B70" i="23" s="1"/>
  <c r="E75" i="23"/>
  <c r="F83" i="23"/>
  <c r="E86" i="23"/>
  <c r="D89" i="23"/>
  <c r="E96" i="23"/>
  <c r="D12" i="23"/>
  <c r="B12" i="23" s="1"/>
  <c r="D17" i="23"/>
  <c r="D28" i="23"/>
  <c r="B28" i="23" s="1"/>
  <c r="D43" i="23"/>
  <c r="B43" i="23" s="1"/>
  <c r="D48" i="23"/>
  <c r="D52" i="23"/>
  <c r="E60" i="23"/>
  <c r="F86" i="23"/>
  <c r="E89" i="23"/>
  <c r="D93" i="23"/>
  <c r="F96" i="23"/>
  <c r="D100" i="23"/>
  <c r="D16" i="23"/>
  <c r="B16" i="23" s="1"/>
  <c r="E17" i="23"/>
  <c r="D23" i="23"/>
  <c r="B23" i="23" s="1"/>
  <c r="D33" i="23"/>
  <c r="E48" i="23"/>
  <c r="E52" i="23"/>
  <c r="D80" i="23"/>
  <c r="F89" i="23"/>
  <c r="E93" i="23"/>
  <c r="E100" i="23"/>
  <c r="E11" i="23"/>
  <c r="D13" i="23"/>
  <c r="E33" i="23"/>
  <c r="D39" i="23"/>
  <c r="B39" i="23" s="1"/>
  <c r="D56" i="23"/>
  <c r="D61" i="23"/>
  <c r="B61" i="23" s="1"/>
  <c r="D66" i="23"/>
  <c r="D71" i="23"/>
  <c r="B71" i="23" s="1"/>
  <c r="D76" i="23"/>
  <c r="E80" i="23"/>
  <c r="D84" i="23"/>
  <c r="F93" i="23"/>
  <c r="D97" i="23"/>
  <c r="F100" i="23"/>
  <c r="E13" i="23"/>
  <c r="D29" i="23"/>
  <c r="D44" i="23"/>
  <c r="B44" i="23" s="1"/>
  <c r="D49" i="23"/>
  <c r="E56" i="23"/>
  <c r="E66" i="23"/>
  <c r="E76" i="23"/>
  <c r="F80" i="23"/>
  <c r="E84" i="23"/>
  <c r="D87" i="23"/>
  <c r="E97" i="23"/>
  <c r="D18" i="23"/>
  <c r="B18" i="23" s="1"/>
  <c r="D24" i="23"/>
  <c r="B24" i="23" s="1"/>
  <c r="E29" i="23"/>
  <c r="D34" i="23"/>
  <c r="B34" i="23" s="1"/>
  <c r="E49" i="23"/>
  <c r="D53" i="23"/>
  <c r="D62" i="23"/>
  <c r="B62" i="23" s="1"/>
  <c r="F84" i="23"/>
  <c r="E87" i="23"/>
  <c r="D90" i="23"/>
  <c r="D94" i="23"/>
  <c r="F97" i="23"/>
  <c r="D101" i="23"/>
  <c r="B101" i="23" s="1"/>
  <c r="E53" i="23"/>
  <c r="D72" i="23"/>
  <c r="D77" i="23"/>
  <c r="F87" i="23"/>
  <c r="E90" i="23"/>
  <c r="E94" i="23"/>
  <c r="E9" i="23"/>
  <c r="D19" i="23"/>
  <c r="B19" i="23" s="1"/>
  <c r="D40" i="23"/>
  <c r="B40" i="23" s="1"/>
  <c r="D45" i="23"/>
  <c r="B45" i="23" s="1"/>
  <c r="D57" i="23"/>
  <c r="D63" i="23"/>
  <c r="D67" i="23"/>
  <c r="B67" i="23" s="1"/>
  <c r="E72" i="23"/>
  <c r="E77" i="23"/>
  <c r="D81" i="23"/>
  <c r="B81" i="23" s="1"/>
  <c r="F90" i="23"/>
  <c r="F94" i="23"/>
  <c r="D14" i="23"/>
  <c r="D25" i="23"/>
  <c r="B25" i="23" s="1"/>
  <c r="D30" i="23"/>
  <c r="D50" i="23"/>
  <c r="E57" i="23"/>
  <c r="E63" i="23"/>
  <c r="D98" i="23"/>
  <c r="B98" i="23" l="1"/>
  <c r="B74" i="24"/>
  <c r="B15" i="24"/>
  <c r="B53" i="24"/>
  <c r="B48" i="24"/>
  <c r="B14" i="24"/>
  <c r="B13" i="24"/>
  <c r="B29" i="24"/>
  <c r="B52" i="24"/>
  <c r="B78" i="24"/>
  <c r="B88" i="24"/>
  <c r="B90" i="24"/>
  <c r="B9" i="24"/>
  <c r="B99" i="24"/>
  <c r="B95" i="24"/>
  <c r="B34" i="24"/>
  <c r="B57" i="24"/>
  <c r="B86" i="24"/>
  <c r="B97" i="24"/>
  <c r="B98" i="24"/>
  <c r="B95" i="23"/>
  <c r="B10" i="23"/>
  <c r="B80" i="23"/>
  <c r="B14" i="23"/>
  <c r="B96" i="23"/>
  <c r="B30" i="23"/>
  <c r="B84" i="23"/>
  <c r="B90" i="23"/>
  <c r="B13" i="23"/>
  <c r="B57" i="23"/>
  <c r="B17" i="23"/>
  <c r="B88" i="23"/>
  <c r="B63" i="23"/>
  <c r="B52" i="23"/>
  <c r="B55" i="23"/>
  <c r="B53" i="23"/>
  <c r="B97" i="23"/>
  <c r="B94" i="23"/>
  <c r="B99" i="23"/>
  <c r="B29" i="23"/>
  <c r="B86" i="23"/>
  <c r="B74" i="23"/>
  <c r="B78" i="23"/>
  <c r="B85" i="23"/>
  <c r="B50" i="23"/>
  <c r="B84" i="24"/>
  <c r="B51" i="23"/>
  <c r="B100" i="24"/>
  <c r="B93" i="23"/>
  <c r="B94" i="24"/>
  <c r="B60" i="24"/>
  <c r="B55" i="24"/>
  <c r="B64" i="24"/>
  <c r="B10" i="24"/>
  <c r="B60" i="23"/>
  <c r="B83" i="23"/>
  <c r="B64" i="23"/>
  <c r="B91" i="24"/>
  <c r="B96" i="24"/>
  <c r="B85" i="24"/>
  <c r="B91" i="23"/>
  <c r="B51" i="24"/>
  <c r="B31" i="24"/>
  <c r="B80" i="24"/>
  <c r="B17" i="24"/>
  <c r="B75" i="24"/>
  <c r="B75" i="23"/>
  <c r="B92" i="23"/>
  <c r="B31" i="23"/>
  <c r="B65" i="24"/>
  <c r="B33" i="23"/>
  <c r="B65" i="23"/>
  <c r="B79" i="23"/>
  <c r="B77" i="24"/>
  <c r="B76" i="24"/>
  <c r="B89" i="24"/>
  <c r="B77" i="23"/>
  <c r="B76" i="23"/>
  <c r="B89" i="23"/>
  <c r="B72" i="24"/>
  <c r="B33" i="24"/>
  <c r="B92" i="24"/>
  <c r="B58" i="24"/>
  <c r="B54" i="24"/>
  <c r="B72" i="23"/>
  <c r="B87" i="23"/>
  <c r="B32" i="23"/>
  <c r="B87" i="24"/>
  <c r="B66" i="24"/>
  <c r="B79" i="24"/>
  <c r="B66" i="23"/>
  <c r="B59" i="23"/>
  <c r="B83" i="24"/>
  <c r="B9" i="23"/>
  <c r="B100" i="23"/>
  <c r="B56" i="24"/>
  <c r="B56" i="23"/>
  <c r="B58" i="23"/>
  <c r="B59" i="24"/>
  <c r="B93" i="24"/>
  <c r="B11" i="24"/>
  <c r="B54" i="23"/>
  <c r="B11" i="23"/>
  <c r="B49" i="23"/>
  <c r="B49" i="24"/>
  <c r="B15" i="23"/>
  <c r="B48" i="23"/>
  <c r="G2" i="23" l="1"/>
  <c r="G2" i="24"/>
  <c r="C89" i="1" l="1"/>
  <c r="C88" i="1"/>
  <c r="C43" i="1"/>
  <c r="C42" i="1"/>
  <c r="C51" i="1"/>
  <c r="C50" i="1"/>
  <c r="C31" i="1"/>
  <c r="C30" i="1"/>
  <c r="G71" i="1"/>
  <c r="G70" i="1"/>
  <c r="G69" i="1"/>
  <c r="B2" i="1" l="1"/>
  <c r="G72" i="1"/>
  <c r="G89" i="1"/>
  <c r="G87" i="1"/>
  <c r="G88" i="1"/>
  <c r="G84" i="1"/>
  <c r="G85" i="1"/>
  <c r="G86" i="1"/>
  <c r="G66" i="1" l="1"/>
  <c r="G63" i="1" l="1"/>
  <c r="G68" i="1" l="1"/>
  <c r="G65" i="1"/>
  <c r="G56" i="1"/>
  <c r="G55" i="1"/>
  <c r="G54" i="1"/>
  <c r="G53" i="1"/>
  <c r="G52" i="1"/>
  <c r="G51" i="1"/>
  <c r="G50" i="1"/>
  <c r="G47" i="1"/>
  <c r="G46" i="1"/>
  <c r="G45" i="1"/>
  <c r="G44" i="1"/>
  <c r="G43" i="1"/>
  <c r="G42" i="1"/>
  <c r="G40" i="1"/>
  <c r="G39" i="1"/>
  <c r="G17" i="1"/>
  <c r="G6" i="22"/>
  <c r="G40" i="22"/>
  <c r="G37" i="22"/>
  <c r="G36" i="22"/>
  <c r="G35" i="22"/>
  <c r="G34" i="22"/>
  <c r="G33" i="22"/>
  <c r="G21" i="22"/>
  <c r="G18" i="22"/>
  <c r="G15" i="22"/>
  <c r="G16" i="22"/>
  <c r="D5" i="22" l="1"/>
  <c r="D6" i="22"/>
  <c r="G5" i="22"/>
  <c r="G4" i="22"/>
  <c r="G83" i="1" l="1"/>
  <c r="C9" i="3"/>
  <c r="E5" i="1"/>
  <c r="G64" i="1" l="1"/>
  <c r="G19" i="1"/>
  <c r="G5" i="1"/>
  <c r="G4" i="1"/>
  <c r="D5" i="1" l="1"/>
  <c r="G1" i="22" l="1"/>
  <c r="C34" i="22"/>
  <c r="G99" i="1" l="1"/>
  <c r="G75" i="1" l="1"/>
  <c r="G70" i="22"/>
  <c r="G41" i="22"/>
  <c r="B8" i="22" l="1"/>
  <c r="B6" i="22"/>
  <c r="B4" i="22"/>
  <c r="B8" i="1"/>
  <c r="B6" i="1"/>
  <c r="B4" i="1"/>
  <c r="C83" i="1"/>
  <c r="G28" i="1"/>
  <c r="G27" i="1"/>
  <c r="G26" i="1"/>
  <c r="G25" i="1"/>
  <c r="G24" i="1"/>
  <c r="G23" i="1"/>
  <c r="G22" i="1"/>
  <c r="G21" i="1"/>
  <c r="G1" i="1" l="1"/>
  <c r="C60" i="22"/>
  <c r="G46" i="22"/>
  <c r="C16" i="22"/>
  <c r="B3" i="22" l="1"/>
  <c r="C102" i="1" l="1"/>
  <c r="C85" i="1"/>
  <c r="C55" i="1"/>
  <c r="C47" i="1"/>
  <c r="C14" i="1"/>
  <c r="C35" i="1"/>
  <c r="G3" i="22" l="1"/>
  <c r="G9" i="22"/>
  <c r="G59" i="22"/>
  <c r="G24" i="22"/>
  <c r="G25" i="22"/>
  <c r="G26" i="22"/>
  <c r="G27" i="22"/>
  <c r="G7" i="22"/>
  <c r="D7" i="22"/>
  <c r="B7" i="22" s="1"/>
  <c r="B5" i="22"/>
  <c r="D17" i="22" s="1"/>
  <c r="G61" i="22"/>
  <c r="C59" i="22"/>
  <c r="L4" i="15"/>
  <c r="D18" i="22" l="1"/>
  <c r="B18" i="22" s="1"/>
  <c r="D40" i="22"/>
  <c r="B40" i="22" s="1"/>
  <c r="D33" i="22"/>
  <c r="B33" i="22" s="1"/>
  <c r="D21" i="22"/>
  <c r="B21" i="22" s="1"/>
  <c r="D15" i="22"/>
  <c r="B15" i="22" s="1"/>
  <c r="B17" i="22"/>
  <c r="D16" i="22"/>
  <c r="B16" i="22" s="1"/>
  <c r="D35" i="22"/>
  <c r="B35" i="22" s="1"/>
  <c r="D41" i="22"/>
  <c r="B41" i="22" s="1"/>
  <c r="D34" i="22"/>
  <c r="B34" i="22" s="1"/>
  <c r="D37" i="22"/>
  <c r="B37" i="22" s="1"/>
  <c r="D36" i="22"/>
  <c r="B36" i="22" s="1"/>
  <c r="D32" i="22"/>
  <c r="B32" i="22" s="1"/>
  <c r="D70" i="22"/>
  <c r="B70" i="22" s="1"/>
  <c r="D59" i="22"/>
  <c r="B59" i="22" s="1"/>
  <c r="D57" i="22"/>
  <c r="B57" i="22" s="1"/>
  <c r="D65" i="22"/>
  <c r="B65" i="22" s="1"/>
  <c r="D66" i="22"/>
  <c r="B66" i="22" s="1"/>
  <c r="D71" i="22"/>
  <c r="B71" i="22" s="1"/>
  <c r="D69" i="22"/>
  <c r="B69" i="22" s="1"/>
  <c r="D72" i="22"/>
  <c r="B72" i="22" s="1"/>
  <c r="D63" i="22"/>
  <c r="B63" i="22" s="1"/>
  <c r="D53" i="22"/>
  <c r="B53" i="22" s="1"/>
  <c r="D60" i="22"/>
  <c r="B60" i="22" s="1"/>
  <c r="D58" i="22"/>
  <c r="B58" i="22" s="1"/>
  <c r="D49" i="22"/>
  <c r="B49" i="22" s="1"/>
  <c r="D55" i="22"/>
  <c r="B55" i="22" s="1"/>
  <c r="D54" i="22"/>
  <c r="B54" i="22" s="1"/>
  <c r="D50" i="22"/>
  <c r="B50" i="22" s="1"/>
  <c r="D51" i="22"/>
  <c r="B51" i="22" s="1"/>
  <c r="D46" i="22"/>
  <c r="B46" i="22" s="1"/>
  <c r="D47" i="22"/>
  <c r="B47" i="22" s="1"/>
  <c r="D48" i="22"/>
  <c r="B48" i="22" s="1"/>
  <c r="D67" i="22"/>
  <c r="B67" i="22" s="1"/>
  <c r="D45" i="22"/>
  <c r="B45" i="22" s="1"/>
  <c r="D62" i="22"/>
  <c r="B62" i="22" s="1"/>
  <c r="D68" i="22"/>
  <c r="B68" i="22" s="1"/>
  <c r="D44" i="22"/>
  <c r="B44" i="22" s="1"/>
  <c r="D52" i="22"/>
  <c r="B52" i="22" s="1"/>
  <c r="D56" i="22"/>
  <c r="B56" i="22" s="1"/>
  <c r="D64" i="22"/>
  <c r="B64" i="22" s="1"/>
  <c r="D61" i="22"/>
  <c r="B61" i="22" s="1"/>
  <c r="D28" i="22"/>
  <c r="B28" i="22" s="1"/>
  <c r="D27" i="22"/>
  <c r="B27" i="22" s="1"/>
  <c r="D26" i="22"/>
  <c r="B26" i="22" s="1"/>
  <c r="D25" i="22"/>
  <c r="B25" i="22" s="1"/>
  <c r="D24" i="22"/>
  <c r="B24" i="22" s="1"/>
  <c r="D20" i="22"/>
  <c r="B20" i="22" s="1"/>
  <c r="D42" i="22"/>
  <c r="B42" i="22" s="1"/>
  <c r="D14" i="22"/>
  <c r="B14" i="22" s="1"/>
  <c r="D39" i="22"/>
  <c r="B39" i="22" s="1"/>
  <c r="D29" i="22"/>
  <c r="B29" i="22" s="1"/>
  <c r="D23" i="22"/>
  <c r="B23" i="22" s="1"/>
  <c r="D22" i="22"/>
  <c r="B22" i="22" s="1"/>
  <c r="D19" i="22"/>
  <c r="B19" i="22" s="1"/>
  <c r="D12" i="22"/>
  <c r="B12" i="22" s="1"/>
  <c r="D13" i="22"/>
  <c r="B13" i="22" s="1"/>
  <c r="D43" i="22"/>
  <c r="B43" i="22" s="1"/>
  <c r="D10" i="22"/>
  <c r="B10" i="22" s="1"/>
  <c r="D38" i="22"/>
  <c r="B38" i="22" s="1"/>
  <c r="D11" i="22"/>
  <c r="B11" i="22" s="1"/>
  <c r="D31" i="22"/>
  <c r="B31" i="22" s="1"/>
  <c r="D30" i="22"/>
  <c r="B30" i="22" s="1"/>
  <c r="D9" i="22"/>
  <c r="B9" i="22" s="1"/>
  <c r="G68" i="22"/>
  <c r="G45" i="22"/>
  <c r="C56" i="22"/>
  <c r="C67" i="22"/>
  <c r="C65" i="22"/>
  <c r="C51" i="22"/>
  <c r="C50" i="22"/>
  <c r="G2" i="22" l="1"/>
  <c r="C82" i="1"/>
  <c r="B5" i="1"/>
  <c r="G7" i="1"/>
  <c r="D7" i="1"/>
  <c r="B7" i="1" s="1"/>
  <c r="G9" i="1"/>
  <c r="D12" i="1" l="1"/>
  <c r="B12" i="1" s="1"/>
  <c r="E80" i="1"/>
  <c r="F95" i="1"/>
  <c r="F86" i="1"/>
  <c r="F94" i="1"/>
  <c r="F84" i="1"/>
  <c r="F99" i="1"/>
  <c r="F83" i="1"/>
  <c r="F85" i="1"/>
  <c r="F80" i="1"/>
  <c r="F78" i="1"/>
  <c r="F90" i="1"/>
  <c r="F92" i="1"/>
  <c r="F100" i="1"/>
  <c r="F91" i="1"/>
  <c r="F89" i="1"/>
  <c r="F88" i="1"/>
  <c r="F98" i="1"/>
  <c r="F97" i="1"/>
  <c r="F96" i="1"/>
  <c r="F93" i="1"/>
  <c r="F87" i="1"/>
  <c r="F79" i="1"/>
  <c r="D70" i="1"/>
  <c r="B70" i="1" s="1"/>
  <c r="D71" i="1"/>
  <c r="B71" i="1" s="1"/>
  <c r="D69" i="1"/>
  <c r="B69" i="1" s="1"/>
  <c r="D72" i="1"/>
  <c r="D20" i="1"/>
  <c r="D17" i="1"/>
  <c r="E56" i="1"/>
  <c r="D56" i="1"/>
  <c r="D47" i="1"/>
  <c r="B47" i="1" s="1"/>
  <c r="D55" i="1"/>
  <c r="E55" i="1"/>
  <c r="D53" i="1"/>
  <c r="E52" i="1"/>
  <c r="E54" i="1"/>
  <c r="D52" i="1"/>
  <c r="D54" i="1"/>
  <c r="E53" i="1"/>
  <c r="D50" i="1"/>
  <c r="E50" i="1"/>
  <c r="D46" i="1"/>
  <c r="B46" i="1" s="1"/>
  <c r="D44" i="1"/>
  <c r="B44" i="1" s="1"/>
  <c r="D45" i="1"/>
  <c r="B45" i="1" s="1"/>
  <c r="E49" i="1"/>
  <c r="D42" i="1"/>
  <c r="B42" i="1" s="1"/>
  <c r="D41" i="1"/>
  <c r="B41" i="1" s="1"/>
  <c r="D49" i="1"/>
  <c r="D22" i="1"/>
  <c r="D21" i="1"/>
  <c r="D23" i="1"/>
  <c r="D24" i="1"/>
  <c r="D25" i="1"/>
  <c r="B25" i="1" s="1"/>
  <c r="D26" i="1"/>
  <c r="B26" i="1" s="1"/>
  <c r="D27" i="1"/>
  <c r="D28" i="1"/>
  <c r="D83" i="1"/>
  <c r="E83" i="1"/>
  <c r="D39" i="1"/>
  <c r="B39" i="1" s="1"/>
  <c r="E99" i="1"/>
  <c r="D99" i="1"/>
  <c r="E75" i="1"/>
  <c r="D75" i="1"/>
  <c r="B75" i="1" s="1"/>
  <c r="E89" i="1"/>
  <c r="D101" i="1"/>
  <c r="B101" i="1" s="1"/>
  <c r="D97" i="1"/>
  <c r="D85" i="1"/>
  <c r="E84" i="1"/>
  <c r="E100" i="1"/>
  <c r="E96" i="1"/>
  <c r="E92" i="1"/>
  <c r="E88" i="1"/>
  <c r="E78" i="1"/>
  <c r="D100" i="1"/>
  <c r="B100" i="1" s="1"/>
  <c r="D96" i="1"/>
  <c r="B96" i="1" s="1"/>
  <c r="D92" i="1"/>
  <c r="B92" i="1" s="1"/>
  <c r="D88" i="1"/>
  <c r="D84" i="1"/>
  <c r="B84" i="1" s="1"/>
  <c r="D78" i="1"/>
  <c r="B78" i="1" s="1"/>
  <c r="E95" i="1"/>
  <c r="E87" i="1"/>
  <c r="D82" i="1"/>
  <c r="B82" i="1" s="1"/>
  <c r="D91" i="1"/>
  <c r="D87" i="1"/>
  <c r="B87" i="1" s="1"/>
  <c r="E98" i="1"/>
  <c r="E86" i="1"/>
  <c r="E91" i="1"/>
  <c r="D95" i="1"/>
  <c r="B95" i="1" s="1"/>
  <c r="D81" i="1"/>
  <c r="B81" i="1" s="1"/>
  <c r="E94" i="1"/>
  <c r="D98" i="1"/>
  <c r="B98" i="1" s="1"/>
  <c r="D94" i="1"/>
  <c r="D90" i="1"/>
  <c r="D86" i="1"/>
  <c r="B86" i="1" s="1"/>
  <c r="D80" i="1"/>
  <c r="B80" i="1" s="1"/>
  <c r="D102" i="1"/>
  <c r="B102" i="1" s="1"/>
  <c r="E97" i="1"/>
  <c r="E93" i="1"/>
  <c r="E85" i="1"/>
  <c r="E79" i="1"/>
  <c r="D93" i="1"/>
  <c r="D89" i="1"/>
  <c r="D79" i="1"/>
  <c r="E90" i="1"/>
  <c r="E72" i="1"/>
  <c r="E9" i="1"/>
  <c r="D19" i="1"/>
  <c r="D68" i="1"/>
  <c r="B68" i="1" s="1"/>
  <c r="D40" i="1"/>
  <c r="B40" i="1" s="1"/>
  <c r="E65" i="1"/>
  <c r="D65" i="1"/>
  <c r="B65" i="1" s="1"/>
  <c r="D66" i="1"/>
  <c r="E66" i="1"/>
  <c r="D43" i="1"/>
  <c r="B43" i="1" s="1"/>
  <c r="E51" i="1"/>
  <c r="D51" i="1"/>
  <c r="E31" i="1"/>
  <c r="D31" i="1"/>
  <c r="D76" i="1"/>
  <c r="E76" i="1"/>
  <c r="E74" i="1"/>
  <c r="D74" i="1"/>
  <c r="B74" i="1" s="1"/>
  <c r="D67" i="1"/>
  <c r="B67" i="1" s="1"/>
  <c r="D73" i="1"/>
  <c r="B73" i="1" s="1"/>
  <c r="E60" i="1"/>
  <c r="D64" i="1"/>
  <c r="E63" i="1"/>
  <c r="E59" i="1"/>
  <c r="D63" i="1"/>
  <c r="D59" i="1"/>
  <c r="D62" i="1"/>
  <c r="E64" i="1"/>
  <c r="D61" i="1"/>
  <c r="B61" i="1" s="1"/>
  <c r="D60" i="1"/>
  <c r="D38" i="1"/>
  <c r="B38" i="1" s="1"/>
  <c r="D36" i="1"/>
  <c r="B36" i="1" s="1"/>
  <c r="D35" i="1"/>
  <c r="B35" i="1" s="1"/>
  <c r="E33" i="1"/>
  <c r="D33" i="1"/>
  <c r="E32" i="1"/>
  <c r="D32" i="1"/>
  <c r="E34" i="1"/>
  <c r="D34" i="1"/>
  <c r="E30" i="1"/>
  <c r="D30" i="1"/>
  <c r="D18" i="1"/>
  <c r="D14" i="1"/>
  <c r="E17" i="1"/>
  <c r="E13" i="1"/>
  <c r="E14" i="1"/>
  <c r="D13" i="1"/>
  <c r="D15" i="1"/>
  <c r="D16" i="1"/>
  <c r="E15" i="1"/>
  <c r="D10" i="1"/>
  <c r="E10" i="1"/>
  <c r="D77" i="1"/>
  <c r="E77" i="1"/>
  <c r="D58" i="1"/>
  <c r="E58" i="1"/>
  <c r="D57" i="1"/>
  <c r="E57" i="1"/>
  <c r="D37" i="1"/>
  <c r="B37" i="1" s="1"/>
  <c r="E48" i="1"/>
  <c r="D48" i="1"/>
  <c r="E29" i="1"/>
  <c r="D29" i="1"/>
  <c r="E11" i="1"/>
  <c r="D11" i="1"/>
  <c r="D9" i="1"/>
  <c r="B3" i="1"/>
  <c r="G79" i="1"/>
  <c r="G80" i="1"/>
  <c r="G81" i="1"/>
  <c r="C86" i="1"/>
  <c r="C95" i="1"/>
  <c r="C96" i="1"/>
  <c r="G97" i="1"/>
  <c r="B89" i="1" l="1"/>
  <c r="B90" i="1"/>
  <c r="B72" i="1"/>
  <c r="B77" i="1"/>
  <c r="B76" i="1"/>
  <c r="B97" i="1"/>
  <c r="B66" i="1"/>
  <c r="B83" i="1"/>
  <c r="B94" i="1"/>
  <c r="B85" i="1"/>
  <c r="B88" i="1"/>
  <c r="B93" i="1"/>
  <c r="B91" i="1"/>
  <c r="B99" i="1"/>
  <c r="B79" i="1"/>
  <c r="B9" i="1"/>
  <c r="B33" i="1"/>
  <c r="B29" i="1"/>
  <c r="B34" i="1"/>
  <c r="B49" i="1"/>
  <c r="B56" i="1"/>
  <c r="B50" i="1"/>
  <c r="B55" i="1"/>
  <c r="B64" i="1"/>
  <c r="B59" i="1"/>
  <c r="B32" i="1"/>
  <c r="B48" i="1"/>
  <c r="B54" i="1"/>
  <c r="B52" i="1"/>
  <c r="B21" i="1"/>
  <c r="B58" i="1"/>
  <c r="B27" i="1"/>
  <c r="B22" i="1"/>
  <c r="B53" i="1"/>
  <c r="B23" i="1"/>
  <c r="B57" i="1"/>
  <c r="B62" i="1"/>
  <c r="B24" i="1"/>
  <c r="B60" i="1"/>
  <c r="B31" i="1"/>
  <c r="B51" i="1"/>
  <c r="B30" i="1"/>
  <c r="B28" i="1"/>
  <c r="B63" i="1"/>
  <c r="B10" i="1"/>
  <c r="B19" i="1"/>
  <c r="B14" i="1"/>
  <c r="B13" i="1"/>
  <c r="B11" i="1"/>
  <c r="B18" i="1"/>
  <c r="B16" i="1"/>
  <c r="B20" i="1"/>
  <c r="C8" i="3"/>
  <c r="B2" i="22" l="1"/>
  <c r="G20" i="22"/>
  <c r="C14" i="22" l="1"/>
  <c r="C13" i="22"/>
  <c r="J2" i="22"/>
  <c r="J2" i="1"/>
  <c r="C68" i="1" l="1"/>
  <c r="C56" i="1" l="1"/>
  <c r="C39" i="1"/>
  <c r="C36" i="1"/>
  <c r="C15" i="1"/>
  <c r="B15" i="1" s="1"/>
  <c r="C40" i="1"/>
  <c r="C17" i="1"/>
  <c r="B17" i="1" s="1"/>
  <c r="G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7" authorId="0" shapeId="0" xr:uid="{45BCA1D1-EC96-4910-A20E-856D60D1D7CF}">
      <text>
        <r>
          <rPr>
            <b/>
            <sz val="9"/>
            <color indexed="81"/>
            <rFont val="Tahoma"/>
            <family val="2"/>
          </rPr>
          <t xml:space="preserve">While a SAM Unique Entity ID is not required to do business with Emory, the SAM Unique Entity ID is needed in order to be utilized for business that involves a Federal funding source. If this ID is not provided, your company will be precluded from such opportunities.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A0791443-4B4E-4DB7-8B7E-8AF09A914D24}">
      <text>
        <r>
          <rPr>
            <b/>
            <sz val="9"/>
            <color indexed="81"/>
            <rFont val="Tahoma"/>
            <family val="2"/>
          </rPr>
          <t xml:space="preserve">While a SAM Unique Entity ID is not required to do business with Emory, the SAM Unique Entity ID is needed in order to be utilized for business that involves a Federal funding source. If this ID is not provided, your company will be precluded from such opportunities. </t>
        </r>
      </text>
    </comment>
    <comment ref="G64" authorId="0" shapeId="0" xr:uid="{8966BC55-9799-49FD-BF19-4E855F48A7BF}">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7" authorId="0" shapeId="0" xr:uid="{35B69555-9BFC-461D-BE88-A5467F487DB9}">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82" authorId="0" shapeId="0" xr:uid="{7BD1741E-AE70-427F-BD96-C24B915A82C6}">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79B9D995-6BB3-4BC3-B6A3-93B00F872CE5}">
      <text>
        <r>
          <rPr>
            <b/>
            <sz val="9"/>
            <color indexed="81"/>
            <rFont val="Tahoma"/>
            <family val="2"/>
          </rPr>
          <t xml:space="preserve">While a SAM Unique Entity ID is not required to do business with Emory, the SAM Unique Entity ID is needed in order to be utilized for business that involves a Federal funding source. If this ID is not provided, your company will be precluded from such opportunities. </t>
        </r>
      </text>
    </comment>
    <comment ref="G64" authorId="0" shapeId="0" xr:uid="{1FC074FE-0FED-45EE-89B9-90493602F480}">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7" authorId="0" shapeId="0" xr:uid="{21A20270-BF93-4937-87D9-5B0D0FC17128}">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82" authorId="0" shapeId="0" xr:uid="{E9B53044-7C07-4B1C-B23A-65290719D8AC}">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A1099DCC-C323-4D03-9E17-1FED58766DD2}">
      <text>
        <r>
          <rPr>
            <b/>
            <sz val="9"/>
            <color indexed="81"/>
            <rFont val="Tahoma"/>
            <family val="2"/>
          </rPr>
          <t xml:space="preserve">While a SAM Unique Entity ID is not required to do business with Emory, the SAM Unique Entity ID is needed in order to be utilized for business that involves a Federal funding source. If this ID is not provided, your company will be precluded from such opportunities. </t>
        </r>
      </text>
    </comment>
    <comment ref="G64" authorId="0" shapeId="0" xr:uid="{F0A073D0-FC1C-4781-B21D-9B3202263A4F}">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7" authorId="0" shapeId="0" xr:uid="{874FFCDB-EE24-4AB9-9500-857FCD38C98B}">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82" authorId="0" shapeId="0" xr:uid="{9D302028-8F86-4DBC-9161-9E3AE574C7E9}">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sharedStrings.xml><?xml version="1.0" encoding="utf-8"?>
<sst xmlns="http://schemas.openxmlformats.org/spreadsheetml/2006/main" count="1436" uniqueCount="1063">
  <si>
    <t>NOTE TO SUPPLIER: Submission of this form does not authorize a supplier to provide goods or services to Emory University until the supplier is notified by Procurement.</t>
  </si>
  <si>
    <t>Contact Name:</t>
  </si>
  <si>
    <t>DBA Name, If Different:</t>
  </si>
  <si>
    <t>Contact Phone Number:</t>
  </si>
  <si>
    <t>Contact Email:</t>
  </si>
  <si>
    <t>Legal Mailing Address</t>
  </si>
  <si>
    <t>City:</t>
  </si>
  <si>
    <t>State:</t>
  </si>
  <si>
    <t>ZIP:</t>
  </si>
  <si>
    <t>Email:</t>
  </si>
  <si>
    <t>Phone:</t>
  </si>
  <si>
    <t>Method to Receive Orders:</t>
  </si>
  <si>
    <t>Certifications</t>
  </si>
  <si>
    <t>1. The number shown on this form is my correct taxpayer identification number (or I am waiting for a number to be issued to me).</t>
  </si>
  <si>
    <t>R</t>
  </si>
  <si>
    <t>DUNS Number:</t>
  </si>
  <si>
    <t>Address Line 1:</t>
  </si>
  <si>
    <t>Address Line 2:</t>
  </si>
  <si>
    <t>Under penalties of perjury, I certify by electronically signing below.</t>
  </si>
  <si>
    <t>Prerequisite Questions</t>
  </si>
  <si>
    <t>Individual</t>
  </si>
  <si>
    <t>Study Participant</t>
  </si>
  <si>
    <t>Y</t>
  </si>
  <si>
    <t>Legal Full Name:</t>
  </si>
  <si>
    <t>Banking Information</t>
  </si>
  <si>
    <t>Name of Receiving Bank:</t>
  </si>
  <si>
    <t>Routing Number:</t>
  </si>
  <si>
    <t>Account Number:</t>
  </si>
  <si>
    <t>Error Validation</t>
  </si>
  <si>
    <t>ZIP Code:</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</si>
  <si>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</si>
  <si>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</si>
  <si>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</si>
  <si>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</si>
  <si>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</si>
  <si>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</si>
  <si>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</si>
  <si>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</si>
  <si>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</si>
  <si>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</si>
  <si>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</si>
  <si>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</si>
  <si>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</si>
  <si>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</si>
  <si>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</si>
  <si>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</si>
  <si>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</si>
  <si>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</si>
  <si>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</si>
  <si>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</si>
  <si>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</si>
  <si>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</si>
  <si>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</si>
  <si>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</si>
  <si>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</si>
  <si>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</si>
  <si>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</si>
  <si>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</si>
  <si>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</si>
  <si>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</si>
  <si>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</si>
  <si>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</si>
  <si>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</si>
  <si>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</si>
  <si>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</si>
  <si>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</si>
  <si>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</si>
  <si>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</si>
  <si>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</si>
  <si>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</si>
  <si>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</si>
  <si>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</si>
  <si>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</si>
  <si>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</si>
  <si>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</si>
  <si>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</si>
  <si>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</si>
  <si>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</si>
  <si>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</si>
  <si>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</si>
  <si>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Remit to Address (Billing Address)</t>
  </si>
  <si>
    <t>Shipping Address</t>
  </si>
  <si>
    <t>l declare under penalty of perjury (under the laws of the United States of America) that the information provided on this form is true and correct.</t>
  </si>
  <si>
    <t>Select if you are a Company, Individual, or Study Participant:</t>
  </si>
  <si>
    <t>Company</t>
  </si>
  <si>
    <t>Are you a Canadian citizen or resident for tax purposes?</t>
  </si>
  <si>
    <t>Legal name that is the beneficial owner of payment received:</t>
  </si>
  <si>
    <t>Brief Description of Services/Activities provided to Emory University:</t>
  </si>
  <si>
    <r>
      <t xml:space="preserve">Please indicate if this payment relates </t>
    </r>
    <r>
      <rPr>
        <b/>
        <u/>
        <sz val="11"/>
        <color theme="1"/>
        <rFont val="Calibri"/>
        <family val="2"/>
        <scheme val="minor"/>
      </rPr>
      <t>solely</t>
    </r>
    <r>
      <rPr>
        <b/>
        <sz val="11"/>
        <color theme="1"/>
        <rFont val="Calibri"/>
        <family val="2"/>
        <scheme val="minor"/>
      </rPr>
      <t xml:space="preserve"> to the purchase of goods, inventory, equipment, materials or supplies, and/or related shipping charges:</t>
    </r>
  </si>
  <si>
    <t>No</t>
  </si>
  <si>
    <t>Under penalties of perjury, I declare that I have examined the information on this form and to the best of my knowledge and belief is true, correct, and complete.</t>
  </si>
  <si>
    <t>Address Line 3:</t>
  </si>
  <si>
    <t>Current Address</t>
  </si>
  <si>
    <t>Doing Business As (DBA) Name, If Different then Legal Name:</t>
  </si>
  <si>
    <t>We hereby authorize, with the signature below, Emory University Payment Services to deposit all payments into the above referenced account.</t>
  </si>
  <si>
    <t>ACH Payment Authorization</t>
  </si>
  <si>
    <t>4. My firm does not currently have any employees, vendors, or other types of contractual relationships in place with parties on the U.S. Department of Treasury Office of Foreign Assets Control Specially Designated National (SDN) List. This list can be found at the following URL: http://www.ustreas.gov/offices/enforcement/ofac/sdn/</t>
  </si>
  <si>
    <r>
      <rPr>
        <b/>
        <sz val="11"/>
        <color theme="1"/>
        <rFont val="Calibri"/>
        <family val="2"/>
        <scheme val="minor"/>
      </rPr>
      <t>FORM DESCRIPTION:</t>
    </r>
    <r>
      <rPr>
        <sz val="11"/>
        <color theme="1"/>
        <rFont val="Calibri"/>
        <family val="2"/>
        <scheme val="minor"/>
      </rPr>
      <t xml:space="preserve">
This form is used to establish or update a record within the Emory University Procurement system and meets the Federal requirements to request a taxpayer identification number (TIN), request certain certifications for Federal procurement reporting and claims for exemption, and internal requirements. Do not return this form to the IRS.</t>
    </r>
  </si>
  <si>
    <t>Preliminary Questions</t>
  </si>
  <si>
    <t>Authorized Signer's Phone Number:</t>
  </si>
  <si>
    <t>Authorized Signer's Title:</t>
  </si>
  <si>
    <t>Date of Signature:</t>
  </si>
  <si>
    <t>Bank Name:</t>
  </si>
  <si>
    <t>Routing/ABA Number (Domestic):</t>
  </si>
  <si>
    <t>SWIFT, BIC, BAC Code (International):</t>
  </si>
  <si>
    <t>Bank City:</t>
  </si>
  <si>
    <t>Name on Bank Account:</t>
  </si>
  <si>
    <t>City, State and Postal Code:</t>
  </si>
  <si>
    <t>Street Address:</t>
  </si>
  <si>
    <t>Wire Payment Authorization</t>
  </si>
  <si>
    <t>Country</t>
  </si>
  <si>
    <t>Primary Contact Phone Number:</t>
  </si>
  <si>
    <t>Primary Contact Email Address:</t>
  </si>
  <si>
    <t>Andorra</t>
  </si>
  <si>
    <t>United Arab Emirates</t>
  </si>
  <si>
    <t>Afghanistan</t>
  </si>
  <si>
    <t>Antigua and Barbuda</t>
  </si>
  <si>
    <t>Anguilla</t>
  </si>
  <si>
    <t>Albania</t>
  </si>
  <si>
    <t>Armenia</t>
  </si>
  <si>
    <t>Angola</t>
  </si>
  <si>
    <t>Antarctica</t>
  </si>
  <si>
    <t>Argentina</t>
  </si>
  <si>
    <t>American Samoa</t>
  </si>
  <si>
    <t>Austria</t>
  </si>
  <si>
    <t>Australia</t>
  </si>
  <si>
    <t>Aruba</t>
  </si>
  <si>
    <t>Azerbaijan</t>
  </si>
  <si>
    <t>Barbados</t>
  </si>
  <si>
    <t>Bangladesh</t>
  </si>
  <si>
    <t>Belgium</t>
  </si>
  <si>
    <t>Burkina Faso</t>
  </si>
  <si>
    <t>Bulgaria</t>
  </si>
  <si>
    <t>Bahrain</t>
  </si>
  <si>
    <t>Burundi</t>
  </si>
  <si>
    <t>Benin</t>
  </si>
  <si>
    <t>Saint Barthelemy</t>
  </si>
  <si>
    <t>Bermuda</t>
  </si>
  <si>
    <t>Brunei</t>
  </si>
  <si>
    <t>Bolivia</t>
  </si>
  <si>
    <t>Brazil</t>
  </si>
  <si>
    <t>Bhutan</t>
  </si>
  <si>
    <t>Bouvet Island</t>
  </si>
  <si>
    <t>Botswana</t>
  </si>
  <si>
    <t>Belarus</t>
  </si>
  <si>
    <t>Belize</t>
  </si>
  <si>
    <t>Canada</t>
  </si>
  <si>
    <t>Cocos (Keeling) Islands</t>
  </si>
  <si>
    <t>Central African Republic</t>
  </si>
  <si>
    <t>Switzerland</t>
  </si>
  <si>
    <t>Cote d'Ivoire</t>
  </si>
  <si>
    <t>Cook Islands</t>
  </si>
  <si>
    <t>Chile</t>
  </si>
  <si>
    <t>Cameroon</t>
  </si>
  <si>
    <t>China</t>
  </si>
  <si>
    <t>Colombia</t>
  </si>
  <si>
    <t>Costa Rica</t>
  </si>
  <si>
    <t>Cuba</t>
  </si>
  <si>
    <t>Cape Verde</t>
  </si>
  <si>
    <t>Curacao</t>
  </si>
  <si>
    <t>Christmas Island</t>
  </si>
  <si>
    <t>Cyprus</t>
  </si>
  <si>
    <t>Czech Republic</t>
  </si>
  <si>
    <t>Germany</t>
  </si>
  <si>
    <t>Djibouti</t>
  </si>
  <si>
    <t>Denmark</t>
  </si>
  <si>
    <t>Dominica</t>
  </si>
  <si>
    <t>Dominican Republic</t>
  </si>
  <si>
    <t>Algeria</t>
  </si>
  <si>
    <t>Ecuador</t>
  </si>
  <si>
    <t>Estonia</t>
  </si>
  <si>
    <t>Egypt</t>
  </si>
  <si>
    <t>Western Sahara</t>
  </si>
  <si>
    <t>Eritrea</t>
  </si>
  <si>
    <t>Spain</t>
  </si>
  <si>
    <t>Ethiopia</t>
  </si>
  <si>
    <t>Finland</t>
  </si>
  <si>
    <t>Fiji</t>
  </si>
  <si>
    <t>Falkland Islands (Islas Malvinas)</t>
  </si>
  <si>
    <t>Faroe Islands</t>
  </si>
  <si>
    <t>France</t>
  </si>
  <si>
    <t>Gabon</t>
  </si>
  <si>
    <t>United Kingdom</t>
  </si>
  <si>
    <t>Grenada</t>
  </si>
  <si>
    <t>Georgia</t>
  </si>
  <si>
    <t>French Guiana</t>
  </si>
  <si>
    <t>Guernsey</t>
  </si>
  <si>
    <t>Ghana</t>
  </si>
  <si>
    <t>Gibraltar</t>
  </si>
  <si>
    <t>Greenland</t>
  </si>
  <si>
    <t>Guinea</t>
  </si>
  <si>
    <t>Guadeloupe</t>
  </si>
  <si>
    <t>Equatorial Guinea</t>
  </si>
  <si>
    <t>Greece</t>
  </si>
  <si>
    <t>South Georgia and the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</si>
  <si>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</si>
  <si>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</si>
  <si>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</si>
  <si>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</si>
  <si>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</si>
  <si>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</si>
  <si>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</si>
  <si>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</si>
  <si>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</si>
  <si>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</si>
  <si>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</si>
  <si>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</si>
  <si>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</si>
  <si>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</si>
  <si>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</si>
  <si>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</si>
  <si>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</si>
  <si>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</si>
  <si>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</si>
  <si>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</si>
  <si>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</si>
  <si>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</si>
  <si>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</si>
  <si>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</si>
  <si>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</si>
  <si>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</si>
  <si>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</si>
  <si>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</si>
  <si>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</si>
  <si>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</si>
  <si>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</si>
  <si>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</si>
  <si>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</si>
  <si>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</si>
  <si>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</si>
  <si>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</si>
  <si>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</si>
  <si>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</si>
  <si>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</si>
  <si>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</si>
  <si>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</si>
  <si>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</si>
  <si>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</si>
  <si>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</si>
  <si>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</si>
  <si>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</si>
  <si>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</si>
  <si>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</si>
  <si>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</si>
  <si>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</si>
  <si>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</si>
  <si>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</si>
  <si>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</si>
  <si>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Burma</t>
  </si>
  <si>
    <t>Mongolia</t>
  </si>
  <si>
    <t>Macau</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</si>
  <si>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</si>
  <si>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</si>
  <si>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</si>
  <si>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</si>
  <si>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</si>
  <si>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</si>
  <si>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</si>
  <si>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</si>
  <si>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</si>
  <si>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</si>
  <si>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</si>
  <si>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</si>
  <si>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</si>
  <si>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</si>
  <si>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</si>
  <si>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</si>
  <si>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</si>
  <si>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</si>
  <si>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</si>
  <si>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</si>
  <si>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</si>
  <si>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</si>
  <si>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</si>
  <si>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</si>
  <si>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</si>
  <si>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</si>
  <si>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</si>
  <si>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</si>
  <si>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</si>
  <si>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</si>
  <si>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</si>
  <si>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</si>
  <si>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</si>
  <si>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</si>
  <si>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Gaza Strip</t>
  </si>
  <si>
    <t>West Bank</t>
  </si>
  <si>
    <t>Portugal</t>
  </si>
  <si>
    <t>Palau</t>
  </si>
  <si>
    <t>Paraguay</t>
  </si>
  <si>
    <t>Qatar</t>
  </si>
  <si>
    <t>Reunion</t>
  </si>
  <si>
    <t>Romania</t>
  </si>
  <si>
    <t>Serbia</t>
  </si>
  <si>
    <t>Russia</t>
  </si>
  <si>
    <t>Rwanda</t>
  </si>
  <si>
    <t>Saudi Arabia</t>
  </si>
  <si>
    <t>Solomon Islands</t>
  </si>
  <si>
    <t>Seychelles</t>
  </si>
  <si>
    <t>Sudan</t>
  </si>
  <si>
    <t>Sweden</t>
  </si>
  <si>
    <t>Singapore</t>
  </si>
  <si>
    <t>Saint Helena, Ascension, and Tristan da Cunha</t>
  </si>
  <si>
    <t>Slovenia</t>
  </si>
  <si>
    <t>Svalbard</t>
  </si>
  <si>
    <t>Slovakia</t>
  </si>
  <si>
    <t>Sierra Leone</t>
  </si>
  <si>
    <t>San Marino</t>
  </si>
  <si>
    <t>Senegal</t>
  </si>
  <si>
    <t>Somalia</t>
  </si>
  <si>
    <t>Suriname</t>
  </si>
  <si>
    <t>South Sudan</t>
  </si>
  <si>
    <t>Sao Tome and Principe</t>
  </si>
  <si>
    <t>El Salvador</t>
  </si>
  <si>
    <t>Sint Maarten</t>
  </si>
  <si>
    <t>Syria</t>
  </si>
  <si>
    <t>Swaziland</t>
  </si>
  <si>
    <t>Turks and Caicos Islands</t>
  </si>
  <si>
    <t>Chad</t>
  </si>
  <si>
    <t>French Southern and Antarctic Lands</t>
  </si>
  <si>
    <t>Togo</t>
  </si>
  <si>
    <t>Thailand</t>
  </si>
  <si>
    <t>Tajikistan</t>
  </si>
  <si>
    <t>Tokelau</t>
  </si>
  <si>
    <t>Timor-Leste</t>
  </si>
  <si>
    <t>Turkmenistan</t>
  </si>
  <si>
    <t>Tunisia</t>
  </si>
  <si>
    <t>Tonga</t>
  </si>
  <si>
    <t>Turkey</t>
  </si>
  <si>
    <t>Trinidad and Tobago</t>
  </si>
  <si>
    <t>Tuvalu</t>
  </si>
  <si>
    <t>Taiwan</t>
  </si>
  <si>
    <t>Tanzania</t>
  </si>
  <si>
    <t>Ukraine</t>
  </si>
  <si>
    <t>Uganda</t>
  </si>
  <si>
    <t>United States</t>
  </si>
  <si>
    <t>Uruguay</t>
  </si>
  <si>
    <t>Uzbekistan</t>
  </si>
  <si>
    <t>Holy See (Vatican City)</t>
  </si>
  <si>
    <t>Saint Vincent and the Grenadines</t>
  </si>
  <si>
    <t>Venezuela</t>
  </si>
  <si>
    <t>British Virgin Islands</t>
  </si>
  <si>
    <t>Virgin Islands</t>
  </si>
  <si>
    <t>Vietnam</t>
  </si>
  <si>
    <t>Vanuatu</t>
  </si>
  <si>
    <t>Wallis and Futuna</t>
  </si>
  <si>
    <t>Samoa</t>
  </si>
  <si>
    <t>Kosovo</t>
  </si>
  <si>
    <t>Yemen</t>
  </si>
  <si>
    <t>Mayotte</t>
  </si>
  <si>
    <t>South Africa</t>
  </si>
  <si>
    <t>Zambia</t>
  </si>
  <si>
    <t>Zimbabwe</t>
  </si>
  <si>
    <t>Countries where the use of IBAN is mandatory</t>
  </si>
  <si>
    <t>IBAN length</t>
  </si>
  <si>
    <t>IBAN examples</t>
  </si>
  <si>
    <t>AT611904300234573201</t>
  </si>
  <si>
    <t>BH67BMAG00001299123456</t>
  </si>
  <si>
    <t>BE68539007547034</t>
  </si>
  <si>
    <t>Bosnia-Hercegovina</t>
  </si>
  <si>
    <t>BA391290079401028494</t>
  </si>
  <si>
    <t>BG80BNBG96611020345678</t>
  </si>
  <si>
    <t>HR1210010051863000160</t>
  </si>
  <si>
    <t>CY17002001280000001200527600</t>
  </si>
  <si>
    <t>CZ6508000000192000145399</t>
  </si>
  <si>
    <t>DK5000400440116243</t>
  </si>
  <si>
    <t>EE382200221020145685</t>
  </si>
  <si>
    <t>FO6264600001631634</t>
  </si>
  <si>
    <t>FI2112345600000785</t>
  </si>
  <si>
    <t>FR1420041010050500013M02606</t>
  </si>
  <si>
    <t>GE29NB0000000101904917</t>
  </si>
  <si>
    <t>DE89370400440532013000</t>
  </si>
  <si>
    <t>GI75NWBK000000007099453</t>
  </si>
  <si>
    <t>GB29NWBK60161331926819</t>
  </si>
  <si>
    <t>GR16 01101250000000012300695</t>
  </si>
  <si>
    <t>GL8964710001000206</t>
  </si>
  <si>
    <t>GB57NWBK55504453178386</t>
  </si>
  <si>
    <t>HU42117730161111101800000000</t>
  </si>
  <si>
    <t>IS140159260076545510730339</t>
  </si>
  <si>
    <t>IE29AIBK93115212345678</t>
  </si>
  <si>
    <t>IT60X0542811101000000123456</t>
  </si>
  <si>
    <t>JO99HBHA4543333578295175367253</t>
  </si>
  <si>
    <t>KZ5590238934023248812</t>
  </si>
  <si>
    <t>KW81CBKU0000000000001234560101</t>
  </si>
  <si>
    <t>LV80BANK0000435195001</t>
  </si>
  <si>
    <t>LB62099900000001001901229114</t>
  </si>
  <si>
    <t>LI21088100002324013A A</t>
  </si>
  <si>
    <t>LT121000011101001000</t>
  </si>
  <si>
    <t>LU280019400644750000</t>
  </si>
  <si>
    <t>MK07250120000058984</t>
  </si>
  <si>
    <t>MT84MALT011000012345MTLCAST001S</t>
  </si>
  <si>
    <t>MD24AG000225100013104168</t>
  </si>
  <si>
    <t>MC5811222000010123456789030</t>
  </si>
  <si>
    <t>ME25505000012345678951</t>
  </si>
  <si>
    <t>NL91ABNA0417164300</t>
  </si>
  <si>
    <t>NO0212345678910</t>
  </si>
  <si>
    <t>Palestinian Territory</t>
  </si>
  <si>
    <t>PS92PALS000000000400123456702</t>
  </si>
  <si>
    <t>PL61109010140000071219812874</t>
  </si>
  <si>
    <t>PT50000201231234567890154</t>
  </si>
  <si>
    <t>QA01QNBA000000001234123412341</t>
  </si>
  <si>
    <t>RO49AAAA1B31007593840000</t>
  </si>
  <si>
    <t>SM86U0322509800000000270100</t>
  </si>
  <si>
    <t>SA0380000000608010167519</t>
  </si>
  <si>
    <t>SK3112000000198742637541</t>
  </si>
  <si>
    <t>SI56263300012039086</t>
  </si>
  <si>
    <t>ES9121000418450200051332</t>
  </si>
  <si>
    <t>SE4550000000058398257466</t>
  </si>
  <si>
    <t>CH9300762011623852957</t>
  </si>
  <si>
    <t>TN5910006035183598478831</t>
  </si>
  <si>
    <t>TR330006100519786457841326</t>
  </si>
  <si>
    <t>AE070331234567890123456</t>
  </si>
  <si>
    <t>AL47212110090000000235698741</t>
  </si>
  <si>
    <t>AZ21NABZ00000000137010001944</t>
  </si>
  <si>
    <t>BY13NBRB3600900000002Z00AB00</t>
  </si>
  <si>
    <t>BR9700360305000010009795493P1</t>
  </si>
  <si>
    <t>CR051202001026284066</t>
  </si>
  <si>
    <t>DO28BAGR00000001212453611324</t>
  </si>
  <si>
    <t>GT82TRAJ01020000001210029690</t>
  </si>
  <si>
    <t>IQ98NBIQ657453423456748</t>
  </si>
  <si>
    <t>IR580540105180021273113007</t>
  </si>
  <si>
    <t>IL620108000000099999999</t>
  </si>
  <si>
    <t>KZ86125KZT5004100100</t>
  </si>
  <si>
    <t>XK051212012345678906</t>
  </si>
  <si>
    <t>MR1300020001010000123456753</t>
  </si>
  <si>
    <t>MU17BOMM0101101030300200000MUR</t>
  </si>
  <si>
    <t>PK36SCBL0000001123456702</t>
  </si>
  <si>
    <t>ST68000100010051845310112</t>
  </si>
  <si>
    <t>RS35260005601001611379</t>
  </si>
  <si>
    <t>SC25SSCB11010000000000001497USD</t>
  </si>
  <si>
    <t>LC831090101400000712198128743156</t>
  </si>
  <si>
    <t>UA213996220000026007233566001</t>
  </si>
  <si>
    <t>VA59001123000012345678</t>
  </si>
  <si>
    <t>VG96VPVG0000012345678901</t>
  </si>
  <si>
    <t>TL380080012345678910157</t>
  </si>
  <si>
    <t>Bank Country/Territory:</t>
  </si>
  <si>
    <t>Country/Territory:</t>
  </si>
  <si>
    <t>AD1200012030200359100100</t>
  </si>
  <si>
    <t>IBAN Length Must be 20 Characters.
An IBAN example is AT611904300234573201</t>
  </si>
  <si>
    <t>IBAN Length Must be 22 Characters.
An IBAN example is BH67BMAG00001299123456</t>
  </si>
  <si>
    <t>IBAN Length Must be 16 Characters.
An IBAN example is BE68539007547034</t>
  </si>
  <si>
    <t>IBAN Length Must be 20 Characters.
An IBAN example is BA391290079401028494</t>
  </si>
  <si>
    <t>IBAN Length Must be 22 Characters.
An IBAN example is BG80BNBG96611020345678</t>
  </si>
  <si>
    <t>IBAN Length Must be 21 Characters.
An IBAN example is HR1210010051863000160</t>
  </si>
  <si>
    <t>IBAN Length Must be 28 Characters.
An IBAN example is CY17002001280000001200527600</t>
  </si>
  <si>
    <t>IBAN Length Must be 24 Characters.
An IBAN example is CZ6508000000192000145399</t>
  </si>
  <si>
    <t>IBAN Length Must be 18 Characters.
An IBAN example is DK5000400440116243</t>
  </si>
  <si>
    <t>IBAN Length Must be 20 Characters.
An IBAN example is EE382200221020145685</t>
  </si>
  <si>
    <t>IBAN Length Must be 18 Characters.
An IBAN example is FO6264600001631634</t>
  </si>
  <si>
    <t>IBAN Length Must be 18 Characters.
An IBAN example is FI2112345600000785</t>
  </si>
  <si>
    <t>IBAN Length Must be 27 Characters.
An IBAN example is FR1420041010050500013M02606</t>
  </si>
  <si>
    <t>IBAN Length Must be 22 Characters.
An IBAN example is GE29NB0000000101904917</t>
  </si>
  <si>
    <t>IBAN Length Must be 22 Characters.
An IBAN example is DE89370400440532013000</t>
  </si>
  <si>
    <t>IBAN Length Must be 23 Characters.
An IBAN example is GI75NWBK000000007099453</t>
  </si>
  <si>
    <t>IBAN Length Must be 22 Characters.
An IBAN example is GB29NWBK60161331926819</t>
  </si>
  <si>
    <t>IBAN Length Must be 27 Characters.
An IBAN example is GR16 01101250000000012300695</t>
  </si>
  <si>
    <t>IBAN Length Must be 18 Characters.
An IBAN example is GL8964710001000206</t>
  </si>
  <si>
    <t>IBAN Length Must be 22 Characters.
An IBAN example is GB57NWBK55504453178386</t>
  </si>
  <si>
    <t>IBAN Length Must be 28 Characters.
An IBAN example is HU42117730161111101800000000</t>
  </si>
  <si>
    <t>IBAN Length Must be 26 Characters.
An IBAN example is IS140159260076545510730339</t>
  </si>
  <si>
    <t>IBAN Length Must be 22 Characters.
An IBAN example is IE29AIBK93115212345678</t>
  </si>
  <si>
    <t>IBAN Length Must be 27 Characters.
An IBAN example is IT60X0542811101000000123456</t>
  </si>
  <si>
    <t>IBAN Length Must be 30 Characters.
An IBAN example is JO99HBHA4543333578295175367253</t>
  </si>
  <si>
    <t>IBAN Length Must be 20 Characters.
An IBAN example is KZ5590238934023248812</t>
  </si>
  <si>
    <t>IBAN Length Must be 30 Characters.
An IBAN example is KW81CBKU0000000000001234560101</t>
  </si>
  <si>
    <t>IBAN Length Must be 21 Characters.
An IBAN example is LV80BANK0000435195001</t>
  </si>
  <si>
    <t>IBAN Length Must be 28 Characters.
An IBAN example is LB62099900000001001901229114</t>
  </si>
  <si>
    <t>IBAN Length Must be 21 Characters.
An IBAN example is LI21088100002324013A A</t>
  </si>
  <si>
    <t>IBAN Length Must be 20 Characters.
An IBAN example is LT121000011101001000</t>
  </si>
  <si>
    <t>IBAN Length Must be 20 Characters.
An IBAN example is LU280019400644750000</t>
  </si>
  <si>
    <t>IBAN Length Must be 19 Characters.
An IBAN example is MK07250120000058984</t>
  </si>
  <si>
    <t>IBAN Length Must be 31 Characters.
An IBAN example is MT84MALT011000012345MTLCAST001S</t>
  </si>
  <si>
    <t>IBAN Length Must be 24 Characters.
An IBAN example is MD24AG000225100013104168</t>
  </si>
  <si>
    <t>IBAN Length Must be 27 Characters.
An IBAN example is MC5811222000010123456789030</t>
  </si>
  <si>
    <t>IBAN Length Must be 22 Characters.
An IBAN example is ME25505000012345678951</t>
  </si>
  <si>
    <t>IBAN Length Must be 18 Characters.
An IBAN example is NL91ABNA0417164300</t>
  </si>
  <si>
    <t>IBAN Length Must be 15 Characters.
An IBAN example is NO0212345678910</t>
  </si>
  <si>
    <t>IBAN Length Must be 29 Characters.
An IBAN example is PS92PALS000000000400123456702</t>
  </si>
  <si>
    <t>IBAN Length Must be 28 Characters.
An IBAN example is PL61109010140000071219812874</t>
  </si>
  <si>
    <t>IBAN Length Must be 25 Characters.
An IBAN example is PT50000201231234567890154</t>
  </si>
  <si>
    <t>IBAN Length Must be 29 Characters.
An IBAN example is QA01QNBA000000001234123412341</t>
  </si>
  <si>
    <t>IBAN Length Must be 24 Characters.
An IBAN example is RO49AAAA1B31007593840000</t>
  </si>
  <si>
    <t>IBAN Length Must be 27 Characters.
An IBAN example is SM86U0322509800000000270100</t>
  </si>
  <si>
    <t>IBAN Length Must be 24 Characters.
An IBAN example is SA0380000000608010167519</t>
  </si>
  <si>
    <t>IBAN Length Must be 24 Characters.
An IBAN example is SK3112000000198742637541</t>
  </si>
  <si>
    <t>IBAN Length Must be 19 Characters.
An IBAN example is SI56263300012039086</t>
  </si>
  <si>
    <t>IBAN Length Must be 24 Characters.
An IBAN example is ES9121000418450200051332</t>
  </si>
  <si>
    <t>IBAN Length Must be 24 Characters.
An IBAN example is SE4550000000058398257466</t>
  </si>
  <si>
    <t>IBAN Length Must be 21 Characters.
An IBAN example is CH9300762011623852957</t>
  </si>
  <si>
    <t>IBAN Length Must be 24 Characters.
An IBAN example is TN5910006035183598478831</t>
  </si>
  <si>
    <t>IBAN Length Must be 26 Characters.
An IBAN example is TR330006100519786457841326</t>
  </si>
  <si>
    <t>IBAN Length Must be 23 Characters.
An IBAN example is AE070331234567890123456</t>
  </si>
  <si>
    <t>IBAN Length Must be 28 Characters.
An IBAN example is AL47212110090000000235698741</t>
  </si>
  <si>
    <t>IBAN Length Must be 28 Characters.
An IBAN example is AZ21NABZ00000000137010001944</t>
  </si>
  <si>
    <t>IBAN Length Must be 28 Characters.
An IBAN example is BY13NBRB3600900000002Z00AB00</t>
  </si>
  <si>
    <t>IBAN Length Must be 29 Characters.
An IBAN example is BR9700360305000010009795493P1</t>
  </si>
  <si>
    <t>IBAN Length Must be 21 Characters.
An IBAN example is CR051202001026284066</t>
  </si>
  <si>
    <t>IBAN Length Must be 28 Characters.
An IBAN example is DO28BAGR00000001212453611324</t>
  </si>
  <si>
    <t>IBAN Length Must be 28 Characters.
An IBAN example is GT82TRAJ01020000001210029690</t>
  </si>
  <si>
    <t>IBAN Length Must be 23 Characters.
An IBAN example is IQ98NBIQ657453423456748</t>
  </si>
  <si>
    <t>IBAN Length Must be 26 Characters.
An IBAN example is IR580540105180021273113007</t>
  </si>
  <si>
    <t>IBAN Length Must be 23 Characters.
An IBAN example is IL620108000000099999999</t>
  </si>
  <si>
    <t>IBAN Length Must be 20 Characters.
An IBAN example is KZ86125KZT5004100100</t>
  </si>
  <si>
    <t>IBAN Length Must be 20 Characters.
An IBAN example is XK051212012345678906</t>
  </si>
  <si>
    <t>IBAN Length Must be 27 Characters.
An IBAN example is MR1300020001010000123456753</t>
  </si>
  <si>
    <t>IBAN Length Must be 30 Characters.
An IBAN example is MU17BOMM0101101030300200000MUR</t>
  </si>
  <si>
    <t>IBAN Length Must be 24 Characters.
An IBAN example is PK36SCBL0000001123456702</t>
  </si>
  <si>
    <t>IBAN Length Must be 25 Characters.
An IBAN example is ST68000100010051845310112</t>
  </si>
  <si>
    <t>IBAN Length Must be 22 Characters.
An IBAN example is RS35260005601001611379</t>
  </si>
  <si>
    <t>IBAN Length Must be 31 Characters.
An IBAN example is SC25SSCB11010000000000001497USD</t>
  </si>
  <si>
    <t>IBAN Length Must be 32 Characters.
An IBAN example is LC831090101400000712198128743156</t>
  </si>
  <si>
    <t>IBAN Length Must be 29 Characters.
An IBAN example is UA213996220000026007233566001</t>
  </si>
  <si>
    <t>IBAN Length Must be 22 Characters.
An IBAN example is VA59001123000012345678</t>
  </si>
  <si>
    <t>IBAN Length Must be 24 Characters.
An IBAN example is VG96VPVG0000012345678901</t>
  </si>
  <si>
    <t>IBAN Length Must be 23 Characters.
An IBAN example is TL380080012345678910157</t>
  </si>
  <si>
    <t>Australian Dollar</t>
  </si>
  <si>
    <t>AUD</t>
  </si>
  <si>
    <t>6-digit BSB (Bank/State/Branch) routing code required</t>
  </si>
  <si>
    <t>Brazilian Real</t>
  </si>
  <si>
    <t>BRL</t>
  </si>
  <si>
    <t>Account number + sort code (6 digits) or IBAN can be used within the U.K.</t>
  </si>
  <si>
    <t>Canadian Dollar</t>
  </si>
  <si>
    <t xml:space="preserve">CAD </t>
  </si>
  <si>
    <t>Include 9-digit Canadian transit number</t>
  </si>
  <si>
    <t>GTQ</t>
  </si>
  <si>
    <t>Payment to Individuals are not permitted</t>
  </si>
  <si>
    <t>Indian Rupee</t>
  </si>
  <si>
    <t>INR</t>
  </si>
  <si>
    <t>Israeli Shekel</t>
  </si>
  <si>
    <t>ILS</t>
  </si>
  <si>
    <t>KES</t>
  </si>
  <si>
    <t>Beneficiary name, telephone (+ Country Code) and full address</t>
  </si>
  <si>
    <t>Korean Won</t>
  </si>
  <si>
    <t>KRW</t>
  </si>
  <si>
    <t>Include Govt national ID, tax ID/business registration or residence permit number</t>
  </si>
  <si>
    <t>Mexican Peso</t>
  </si>
  <si>
    <t>MXN</t>
  </si>
  <si>
    <t>The 18- Digit CLABE account number for credit to all depository accounts in Mexico</t>
  </si>
  <si>
    <t>South African Rand</t>
  </si>
  <si>
    <t>ZAR</t>
  </si>
  <si>
    <t>Taiwan Dollar</t>
  </si>
  <si>
    <t>TWD</t>
  </si>
  <si>
    <t>Thai Baht</t>
  </si>
  <si>
    <t>THB</t>
  </si>
  <si>
    <t>Beneficiary name, address, tax ID and telephone number (+ Country Code)</t>
  </si>
  <si>
    <t>Zambian Kwacha</t>
  </si>
  <si>
    <t>ZMW</t>
  </si>
  <si>
    <t>Branch code required (bank code, area code and bank branch code)
Full beneficiary address recommended</t>
  </si>
  <si>
    <t>Need 6-Digit transit number or BIC and beneficiary address
Need beneficiary contact details (telephone and email address)</t>
  </si>
  <si>
    <t>South Korea</t>
  </si>
  <si>
    <t>Beneficiary bank branch code and name
Beneficiary name, telephone (+ Country Code) and full address</t>
  </si>
  <si>
    <t>GBP</t>
  </si>
  <si>
    <t>Does your bank require an intermediary bank for processing final payment?</t>
  </si>
  <si>
    <t>IBAN Length Must be 22 Characters.
An IBAN example is GB57NWBK55504453178386
An IBAN example is JE68ABNA0350917C000978</t>
  </si>
  <si>
    <t>IBAN Length Must be 22 Characters.
An IBAN example is GB57NWBK55504453178386
An IBAN example is IM07MIDL40193872448696</t>
  </si>
  <si>
    <t>Bahamas</t>
  </si>
  <si>
    <t>Congo</t>
  </si>
  <si>
    <t>Gambia</t>
  </si>
  <si>
    <t>North Korea</t>
  </si>
  <si>
    <t>Micronesia</t>
  </si>
  <si>
    <t>State</t>
  </si>
  <si>
    <t>Payment Terms</t>
  </si>
  <si>
    <t>Countries</t>
  </si>
  <si>
    <t>Combined</t>
  </si>
  <si>
    <t>Additional Information</t>
  </si>
  <si>
    <t>Agencia number (Bank Branch Number) 3-7 digits
14-Digit CJNP (Tax Payer ID) for corporations or 9-Digit CPF for individuals
Beneficiary name, telephone (+ Country Code), full address and email</t>
  </si>
  <si>
    <t>Details of correspondent bank if in Palestine
Bank number and branch number also required
Swift option A (BIC) must be used in all relevant fields to avoid processing delays</t>
  </si>
  <si>
    <t>Bank number and branch number also required
Swift option A (BIC) must be used in all relevant fields to avoid processing delays</t>
  </si>
  <si>
    <t>Provide an Indian Financial Systems Code (IFSC Code - 11 Characters)
Provide a Foreign Inward Remittance Certificate (FIRC) if required by Beneficiary Bank</t>
  </si>
  <si>
    <t>Currency</t>
  </si>
  <si>
    <t>ISO</t>
  </si>
  <si>
    <t>Symbol</t>
  </si>
  <si>
    <t>United States Dollar</t>
  </si>
  <si>
    <t>USD</t>
  </si>
  <si>
    <t>$</t>
  </si>
  <si>
    <t>USD - United States Dollar ($)</t>
  </si>
  <si>
    <t>UAE Dirham</t>
  </si>
  <si>
    <t>AED</t>
  </si>
  <si>
    <t>د.إ</t>
  </si>
  <si>
    <t>AED - UAE Dirham (د.إ)</t>
  </si>
  <si>
    <t>Albanian Lek</t>
  </si>
  <si>
    <t>ALL</t>
  </si>
  <si>
    <t>L</t>
  </si>
  <si>
    <t>ALL - Albanian Lek (L)</t>
  </si>
  <si>
    <t>Neth Antilles Guilder</t>
  </si>
  <si>
    <t>ANG</t>
  </si>
  <si>
    <t>NAƒ</t>
  </si>
  <si>
    <t>ANG - Neth Antilles Guilder (NAƒ)</t>
  </si>
  <si>
    <t>Argentine Peso</t>
  </si>
  <si>
    <t>ARS</t>
  </si>
  <si>
    <t>ARS - Argentine Peso ($)</t>
  </si>
  <si>
    <t>AUD - Australian Dollar ($)</t>
  </si>
  <si>
    <t>Aruba Florin</t>
  </si>
  <si>
    <t>AWG</t>
  </si>
  <si>
    <t>ƒ</t>
  </si>
  <si>
    <t>AWG - Aruba Florin (ƒ)</t>
  </si>
  <si>
    <t>Barbados Dollar</t>
  </si>
  <si>
    <t>BBD</t>
  </si>
  <si>
    <t>BBD - Barbados Dollar (BBD)</t>
  </si>
  <si>
    <t>Bangladesh Taka</t>
  </si>
  <si>
    <t>BDT</t>
  </si>
  <si>
    <t>Tk</t>
  </si>
  <si>
    <t>BDT - Bangladesh Taka (Tk)</t>
  </si>
  <si>
    <t>Bulgarian Lev</t>
  </si>
  <si>
    <t>BGN</t>
  </si>
  <si>
    <t>лв</t>
  </si>
  <si>
    <t>BGN - Bulgarian Lev (лв)</t>
  </si>
  <si>
    <t>Bahraini Dinar</t>
  </si>
  <si>
    <t>BHD</t>
  </si>
  <si>
    <t>.د.ب</t>
  </si>
  <si>
    <t>BHD - Bahraini Dinar (.د.ب)</t>
  </si>
  <si>
    <t>Burundi Franc</t>
  </si>
  <si>
    <t>BIF</t>
  </si>
  <si>
    <t>FBu</t>
  </si>
  <si>
    <t>BIF - Burundi Franc (FBu)</t>
  </si>
  <si>
    <t>Bermuda Dollar</t>
  </si>
  <si>
    <t>BMD</t>
  </si>
  <si>
    <t>BD$</t>
  </si>
  <si>
    <t>BMD - Bermuda Dollar (BD$)</t>
  </si>
  <si>
    <t>Brunei Dollar</t>
  </si>
  <si>
    <t>BND</t>
  </si>
  <si>
    <t>B$</t>
  </si>
  <si>
    <t>BND - Brunei Dollar (B$)</t>
  </si>
  <si>
    <t>Bolivian Boliviano</t>
  </si>
  <si>
    <t>BOB</t>
  </si>
  <si>
    <t>Bs</t>
  </si>
  <si>
    <t>BOB - Bolivian Boliviano (Bs)</t>
  </si>
  <si>
    <t>R$</t>
  </si>
  <si>
    <t>BRL - Brazilian Real (R$)</t>
  </si>
  <si>
    <t>Bahamian Dollar</t>
  </si>
  <si>
    <t>BSD</t>
  </si>
  <si>
    <t>BSD - Bahamian Dollar (B$)</t>
  </si>
  <si>
    <t>Bhutan Ngultrum</t>
  </si>
  <si>
    <t>BTN</t>
  </si>
  <si>
    <t>Nu.</t>
  </si>
  <si>
    <t>BTN - Bhutan Ngultrum (Nu.)</t>
  </si>
  <si>
    <t>Botswana Pula</t>
  </si>
  <si>
    <t>BWP</t>
  </si>
  <si>
    <t>P</t>
  </si>
  <si>
    <t>BWP - Botswana Pula (P)</t>
  </si>
  <si>
    <t>Belarus Ruble</t>
  </si>
  <si>
    <t>BYR</t>
  </si>
  <si>
    <t>Br</t>
  </si>
  <si>
    <t>BYR - Belarus Ruble (Br)</t>
  </si>
  <si>
    <t>Belize Dollar</t>
  </si>
  <si>
    <t>BZD</t>
  </si>
  <si>
    <t>BZ$</t>
  </si>
  <si>
    <t>BZD - Belize Dollar (BZ$)</t>
  </si>
  <si>
    <t>CAD</t>
  </si>
  <si>
    <t>C$</t>
  </si>
  <si>
    <t>CAD - Canadian Dollar (C$)</t>
  </si>
  <si>
    <t>Swiss Franc</t>
  </si>
  <si>
    <t>CHF</t>
  </si>
  <si>
    <t>CHF - Swiss Franc (CHF)</t>
  </si>
  <si>
    <t>Chilean Peso</t>
  </si>
  <si>
    <t>CLP</t>
  </si>
  <si>
    <t>CLP - Chilean Peso ($)</t>
  </si>
  <si>
    <t>Chinese Yuan</t>
  </si>
  <si>
    <t>CNY</t>
  </si>
  <si>
    <t>¥</t>
  </si>
  <si>
    <t>CNY - Chinese Yuan (¥)</t>
  </si>
  <si>
    <t>Colombian Peso</t>
  </si>
  <si>
    <t>COP</t>
  </si>
  <si>
    <t>COP - Colombian Peso ($)</t>
  </si>
  <si>
    <t>Costa Rica Colon</t>
  </si>
  <si>
    <t>CRC</t>
  </si>
  <si>
    <t>₡</t>
  </si>
  <si>
    <t>CRC - Costa Rica Colon (₡)</t>
  </si>
  <si>
    <t>Cuban Peso</t>
  </si>
  <si>
    <t>CUP</t>
  </si>
  <si>
    <t>$MN</t>
  </si>
  <si>
    <t>CUP - Cuban Peso ($MN)</t>
  </si>
  <si>
    <t>Cape Verde Escudo</t>
  </si>
  <si>
    <t>CVE</t>
  </si>
  <si>
    <t>Esc</t>
  </si>
  <si>
    <t>CVE - Cape Verde Escudo (Esc)</t>
  </si>
  <si>
    <t>Czech Koruna</t>
  </si>
  <si>
    <t>CZK</t>
  </si>
  <si>
    <t>Kč</t>
  </si>
  <si>
    <t>CZK - Czech Koruna (Kč)</t>
  </si>
  <si>
    <t>Djibouti Franc</t>
  </si>
  <si>
    <t>DJF</t>
  </si>
  <si>
    <t>Fdj</t>
  </si>
  <si>
    <t>DJF - Djibouti Franc (Fdj)</t>
  </si>
  <si>
    <t>Danish Krone</t>
  </si>
  <si>
    <t>DKK</t>
  </si>
  <si>
    <t>kr</t>
  </si>
  <si>
    <t>DKK - Danish Krone (kr)</t>
  </si>
  <si>
    <t>Dominican Peso</t>
  </si>
  <si>
    <t>DOP</t>
  </si>
  <si>
    <t>RD$</t>
  </si>
  <si>
    <t>DOP - Dominican Peso (RD$)</t>
  </si>
  <si>
    <t>Algerian Dinar</t>
  </si>
  <si>
    <t>DZD</t>
  </si>
  <si>
    <t>دج</t>
  </si>
  <si>
    <t>DZD - Algerian Dinar (دج)</t>
  </si>
  <si>
    <t>Estonian Kroon</t>
  </si>
  <si>
    <t>EEK</t>
  </si>
  <si>
    <t>EEK - Estonian Kroon (EEK)</t>
  </si>
  <si>
    <t>Egyptian Pound</t>
  </si>
  <si>
    <t>EGP</t>
  </si>
  <si>
    <t>ج.م</t>
  </si>
  <si>
    <t>EGP - Egyptian Pound (ج.م)</t>
  </si>
  <si>
    <t>Ethiopian Birr</t>
  </si>
  <si>
    <t>ETB</t>
  </si>
  <si>
    <t>ETB - Ethiopian Birr (Br)</t>
  </si>
  <si>
    <t>Euro</t>
  </si>
  <si>
    <t>EUR</t>
  </si>
  <si>
    <t>€</t>
  </si>
  <si>
    <t>EUR - Euro (€)</t>
  </si>
  <si>
    <t>Fiji Dollar</t>
  </si>
  <si>
    <t>FJD</t>
  </si>
  <si>
    <t>FJ$</t>
  </si>
  <si>
    <t>FJD - Fiji Dollar (FJ$)</t>
  </si>
  <si>
    <t>Falkland Islands Pound</t>
  </si>
  <si>
    <t>FKP</t>
  </si>
  <si>
    <t>£</t>
  </si>
  <si>
    <t>FKP - Falkland Islands Pound (£)</t>
  </si>
  <si>
    <t>British Pound</t>
  </si>
  <si>
    <t>GBP - British Pound (£)</t>
  </si>
  <si>
    <t>Ghanaian Cedi</t>
  </si>
  <si>
    <t>GHS</t>
  </si>
  <si>
    <t>GHS - Ghanaian Cedi (GHS)</t>
  </si>
  <si>
    <t>Gambian Dalasi</t>
  </si>
  <si>
    <t>GMD</t>
  </si>
  <si>
    <t>D</t>
  </si>
  <si>
    <t>GMD - Gambian Dalasi (D)</t>
  </si>
  <si>
    <t>Guinea Franc</t>
  </si>
  <si>
    <t>GNF</t>
  </si>
  <si>
    <t>FG</t>
  </si>
  <si>
    <t>GNF - Guinea Franc (FG)</t>
  </si>
  <si>
    <t>Guatemala Quetzal</t>
  </si>
  <si>
    <t>Q</t>
  </si>
  <si>
    <t>GTQ - Guatemala Quetzal (Q)</t>
  </si>
  <si>
    <t>Guyana Dollar</t>
  </si>
  <si>
    <t>GYD</t>
  </si>
  <si>
    <t>GY$</t>
  </si>
  <si>
    <t>GYD - Guyana Dollar (GY$)</t>
  </si>
  <si>
    <t>Hong Kong Dollar</t>
  </si>
  <si>
    <t>HKD</t>
  </si>
  <si>
    <t>HK$</t>
  </si>
  <si>
    <t>HKD - Hong Kong Dollar (HK$)</t>
  </si>
  <si>
    <t>Honduras Lempira</t>
  </si>
  <si>
    <t>HNL</t>
  </si>
  <si>
    <t>HNL - Honduras Lempira (L)</t>
  </si>
  <si>
    <t>Croatian Kuna</t>
  </si>
  <si>
    <t>HRK</t>
  </si>
  <si>
    <t>kn</t>
  </si>
  <si>
    <t>HRK - Croatian Kuna (kn)</t>
  </si>
  <si>
    <t>Haiti Gourde</t>
  </si>
  <si>
    <t>HTG</t>
  </si>
  <si>
    <t>HTG - Haiti Gourde ()</t>
  </si>
  <si>
    <t>Hungarian Forint</t>
  </si>
  <si>
    <t>HUF</t>
  </si>
  <si>
    <t>Ft</t>
  </si>
  <si>
    <t>HUF - Hungarian Forint (Ft)</t>
  </si>
  <si>
    <t>Indonesian Rupiah</t>
  </si>
  <si>
    <t>IDR</t>
  </si>
  <si>
    <t>Rp</t>
  </si>
  <si>
    <t>IDR - Indonesian Rupiah (Rp)</t>
  </si>
  <si>
    <t>₪</t>
  </si>
  <si>
    <t>ILS - Israeli Shekel (₪)</t>
  </si>
  <si>
    <t>Rs.</t>
  </si>
  <si>
    <t>INR - Indian Rupee (Rs.)</t>
  </si>
  <si>
    <t>Iraqi Dinar</t>
  </si>
  <si>
    <t>IQD</t>
  </si>
  <si>
    <t>ع.د</t>
  </si>
  <si>
    <t>IQD - Iraqi Dinar (ع.د)</t>
  </si>
  <si>
    <t>Iran Rial</t>
  </si>
  <si>
    <t>IRR</t>
  </si>
  <si>
    <t>IRR - Iran Rial ()</t>
  </si>
  <si>
    <t>Iceland Krona</t>
  </si>
  <si>
    <t>ISK</t>
  </si>
  <si>
    <t>ISK - Iceland Krona (kr)</t>
  </si>
  <si>
    <t>Jordanian Dinar</t>
  </si>
  <si>
    <t>JOD</t>
  </si>
  <si>
    <t>JOD - Jordanian Dinar (JOD)</t>
  </si>
  <si>
    <t>Japanese Yen</t>
  </si>
  <si>
    <t>JPY</t>
  </si>
  <si>
    <t>JPY - Japanese Yen (¥)</t>
  </si>
  <si>
    <t>Kenyan Shilling</t>
  </si>
  <si>
    <t>KSh</t>
  </si>
  <si>
    <t>KES - Kenyan Shilling (KSh)</t>
  </si>
  <si>
    <t>Kyrgyzstan Som</t>
  </si>
  <si>
    <t>KGS</t>
  </si>
  <si>
    <t>KGS - Kyrgyzstan Som (KGS)</t>
  </si>
  <si>
    <t>Cambodia Riel</t>
  </si>
  <si>
    <t>KHR</t>
  </si>
  <si>
    <t>KHR - Cambodia Riel (KHR)</t>
  </si>
  <si>
    <t>Comoros Franc</t>
  </si>
  <si>
    <t>KMF</t>
  </si>
  <si>
    <t>KMF - Comoros Franc (KMF)</t>
  </si>
  <si>
    <t>North Korean Won</t>
  </si>
  <si>
    <t>KPW</t>
  </si>
  <si>
    <t>₩</t>
  </si>
  <si>
    <t>KPW - North Korean Won (₩)</t>
  </si>
  <si>
    <t>KRW - Korean Won (₩)</t>
  </si>
  <si>
    <t>Kuwaiti Dinar</t>
  </si>
  <si>
    <t>KWD</t>
  </si>
  <si>
    <t>د.ك</t>
  </si>
  <si>
    <t>KWD - Kuwaiti Dinar (د.ك)</t>
  </si>
  <si>
    <t>Cayman Islands Dollar</t>
  </si>
  <si>
    <t>KYD</t>
  </si>
  <si>
    <t>KYD - Cayman Islands Dollar ($)</t>
  </si>
  <si>
    <t>Kazakhstan Tenge</t>
  </si>
  <si>
    <t>KZT</t>
  </si>
  <si>
    <t>KZT - Kazakhstan Tenge (KZT)</t>
  </si>
  <si>
    <t>Sri Lanka Rupee</t>
  </si>
  <si>
    <t>LKR</t>
  </si>
  <si>
    <t>ரூ</t>
  </si>
  <si>
    <t>LKR - Sri Lanka Rupee (ரூ)</t>
  </si>
  <si>
    <t>Moroccan Dirham</t>
  </si>
  <si>
    <t>MAD</t>
  </si>
  <si>
    <t>د.م.</t>
  </si>
  <si>
    <t>MAD - Moroccan Dirham (د.م.)</t>
  </si>
  <si>
    <t>Moldovan Leu</t>
  </si>
  <si>
    <t>MDL</t>
  </si>
  <si>
    <t>MDL - Moldovan Leu (MDL)</t>
  </si>
  <si>
    <t>Macedonian Denar</t>
  </si>
  <si>
    <t>MKD</t>
  </si>
  <si>
    <t>MKD - Macedonian Denar (MKD)</t>
  </si>
  <si>
    <t>Myanmar Kyat</t>
  </si>
  <si>
    <t>MMK</t>
  </si>
  <si>
    <t>K</t>
  </si>
  <si>
    <t>MMK - Myanmar Kyat (K)</t>
  </si>
  <si>
    <t>Mongolian Tugrik</t>
  </si>
  <si>
    <t>MNT</t>
  </si>
  <si>
    <t>₮</t>
  </si>
  <si>
    <t>MNT - Mongolian Tugrik (₮)</t>
  </si>
  <si>
    <t>Macau Pataca</t>
  </si>
  <si>
    <t>MOP</t>
  </si>
  <si>
    <t>MOP - Macau Pataca ($)</t>
  </si>
  <si>
    <t>Mauritania Ougulya</t>
  </si>
  <si>
    <t>MRO</t>
  </si>
  <si>
    <t>UM</t>
  </si>
  <si>
    <t>MRO - Mauritania Ougulya (UM)</t>
  </si>
  <si>
    <t>Mauritius Rupee</t>
  </si>
  <si>
    <t>MUR</t>
  </si>
  <si>
    <t>₨</t>
  </si>
  <si>
    <t>MUR - Mauritius Rupee (₨)</t>
  </si>
  <si>
    <t>Maldives Rufiyaa</t>
  </si>
  <si>
    <t>MVR</t>
  </si>
  <si>
    <t>Rf</t>
  </si>
  <si>
    <t>MVR - Maldives Rufiyaa (Rf)</t>
  </si>
  <si>
    <t>Malawi Kwacha</t>
  </si>
  <si>
    <t>MWK</t>
  </si>
  <si>
    <t>MK</t>
  </si>
  <si>
    <t>MWK - Malawi Kwacha (MK)</t>
  </si>
  <si>
    <t>MXN - Mexican Peso ($)</t>
  </si>
  <si>
    <t>Malaysian Ringgit</t>
  </si>
  <si>
    <t>MYR</t>
  </si>
  <si>
    <t>RM</t>
  </si>
  <si>
    <t>MYR - Malaysian Ringgit (RM)</t>
  </si>
  <si>
    <t>Namibian Dollar</t>
  </si>
  <si>
    <t>NAD</t>
  </si>
  <si>
    <t>N$</t>
  </si>
  <si>
    <t>NAD - Namibian Dollar (N$)</t>
  </si>
  <si>
    <t>Nigerian Naira</t>
  </si>
  <si>
    <t>NGN</t>
  </si>
  <si>
    <t>₦</t>
  </si>
  <si>
    <t>NGN - Nigerian Naira (₦)</t>
  </si>
  <si>
    <t>Nicaragua Cordoba</t>
  </si>
  <si>
    <t>NIO</t>
  </si>
  <si>
    <t>NIO - Nicaragua Cordoba (C$)</t>
  </si>
  <si>
    <t>Norwegian Krone</t>
  </si>
  <si>
    <t>NOK</t>
  </si>
  <si>
    <t>NOK - Norwegian Krone (kr)</t>
  </si>
  <si>
    <t>Nepalese Rupee</t>
  </si>
  <si>
    <t>NPR</t>
  </si>
  <si>
    <t>NPR - Nepalese Rupee (₨)</t>
  </si>
  <si>
    <t>New Zealand Dollar</t>
  </si>
  <si>
    <t>NZD</t>
  </si>
  <si>
    <t>NZD - New Zealand Dollar ($)</t>
  </si>
  <si>
    <t>Omani Rial</t>
  </si>
  <si>
    <t>OMR</t>
  </si>
  <si>
    <t>ر.ع.</t>
  </si>
  <si>
    <t>OMR - Omani Rial (ر.ع.)</t>
  </si>
  <si>
    <t>Panama Balboa</t>
  </si>
  <si>
    <t>PAB</t>
  </si>
  <si>
    <t>B</t>
  </si>
  <si>
    <t>PAB - Panama Balboa (B)</t>
  </si>
  <si>
    <t>Peruvian Nuevo Sol</t>
  </si>
  <si>
    <t>PEN</t>
  </si>
  <si>
    <t>S/.</t>
  </si>
  <si>
    <t>PEN - Peruvian Nuevo Sol (S/.)</t>
  </si>
  <si>
    <t>Papua New Guinea Kina</t>
  </si>
  <si>
    <t>PGK</t>
  </si>
  <si>
    <t>PGK - Papua New Guinea Kina (K)</t>
  </si>
  <si>
    <t>Philippine Peso</t>
  </si>
  <si>
    <t>PHP</t>
  </si>
  <si>
    <t>₱</t>
  </si>
  <si>
    <t>PHP - Philippine Peso (₱)</t>
  </si>
  <si>
    <t>Pakistani Rupee</t>
  </si>
  <si>
    <t>PKR</t>
  </si>
  <si>
    <t>PKR - Pakistani Rupee (Rs.)</t>
  </si>
  <si>
    <t>Polish Zloty</t>
  </si>
  <si>
    <t>PLN</t>
  </si>
  <si>
    <t>zł</t>
  </si>
  <si>
    <t>PLN - Polish Zloty (zł)</t>
  </si>
  <si>
    <t>Paraguayan Guarani</t>
  </si>
  <si>
    <t>PYG</t>
  </si>
  <si>
    <t>PYG - Paraguayan Guarani ()</t>
  </si>
  <si>
    <t>Qatar Rial</t>
  </si>
  <si>
    <t>QAR</t>
  </si>
  <si>
    <t>ر.ق</t>
  </si>
  <si>
    <t>QAR - Qatar Rial (ر.ق)</t>
  </si>
  <si>
    <t>Romanian New Leu</t>
  </si>
  <si>
    <t>RON</t>
  </si>
  <si>
    <t>RON - Romanian New Leu (L)</t>
  </si>
  <si>
    <t>Russian Rouble</t>
  </si>
  <si>
    <t>RUB</t>
  </si>
  <si>
    <t>руб</t>
  </si>
  <si>
    <t>RUB - Russian Rouble (руб)</t>
  </si>
  <si>
    <t>Rwanda Franc</t>
  </si>
  <si>
    <t>RWF</t>
  </si>
  <si>
    <t>RF</t>
  </si>
  <si>
    <t>RWF - Rwanda Franc (RF)</t>
  </si>
  <si>
    <t>Saudi Arabian Riyal</t>
  </si>
  <si>
    <t>SAR</t>
  </si>
  <si>
    <t>ر.س</t>
  </si>
  <si>
    <t>SAR - Saudi Arabian Riyal (ر.س)</t>
  </si>
  <si>
    <t>Solomon Islands Dollar</t>
  </si>
  <si>
    <t>SBD</t>
  </si>
  <si>
    <t>SI$</t>
  </si>
  <si>
    <t>SBD - Solomon Islands Dollar (SI$)</t>
  </si>
  <si>
    <t>Seychelles Rupee</t>
  </si>
  <si>
    <t>SCR</t>
  </si>
  <si>
    <t>SR</t>
  </si>
  <si>
    <t>SCR - Seychelles Rupee (SR)</t>
  </si>
  <si>
    <t>Sudanese Pound</t>
  </si>
  <si>
    <t>SDG</t>
  </si>
  <si>
    <t>SDG - Sudanese Pound (SDG)</t>
  </si>
  <si>
    <t>Swedish Krona</t>
  </si>
  <si>
    <t>SEK</t>
  </si>
  <si>
    <t>SEK - Swedish Krona (kr)</t>
  </si>
  <si>
    <t>Singapore Dollar</t>
  </si>
  <si>
    <t>SGD</t>
  </si>
  <si>
    <t>S$</t>
  </si>
  <si>
    <t>SGD - Singapore Dollar (S$)</t>
  </si>
  <si>
    <t>St Helena Pound</t>
  </si>
  <si>
    <t>SHP</t>
  </si>
  <si>
    <t>SHP - St Helena Pound (£)</t>
  </si>
  <si>
    <t>Slovak Koruna</t>
  </si>
  <si>
    <t>SKK</t>
  </si>
  <si>
    <t>Sk</t>
  </si>
  <si>
    <t>SKK - Slovak Koruna (Sk)</t>
  </si>
  <si>
    <t>Sierra Leone Leone</t>
  </si>
  <si>
    <t>SLL</t>
  </si>
  <si>
    <t>Le</t>
  </si>
  <si>
    <t>SLL - Sierra Leone Leone (Le)</t>
  </si>
  <si>
    <t>Somali Shilling</t>
  </si>
  <si>
    <t>SOS</t>
  </si>
  <si>
    <t>So.</t>
  </si>
  <si>
    <t>SOS - Somali Shilling (So.)</t>
  </si>
  <si>
    <t>Sao Tome Dobra</t>
  </si>
  <si>
    <t>STD</t>
  </si>
  <si>
    <t>Db</t>
  </si>
  <si>
    <t>STD - Sao Tome Dobra (Db)</t>
  </si>
  <si>
    <t>El Salvador Colon</t>
  </si>
  <si>
    <t>SVC</t>
  </si>
  <si>
    <t>SVC - El Salvador Colon (₡)</t>
  </si>
  <si>
    <t>Syrian Pound</t>
  </si>
  <si>
    <t>SYP</t>
  </si>
  <si>
    <t>SYP - Syrian Pound (SYP)</t>
  </si>
  <si>
    <t>Swaziland Lilageni</t>
  </si>
  <si>
    <t>SZL</t>
  </si>
  <si>
    <t>SZL - Swaziland Lilageni (SZL)</t>
  </si>
  <si>
    <t>฿</t>
  </si>
  <si>
    <t>THB - Thai Baht (฿)</t>
  </si>
  <si>
    <t>Tunisian Dinar</t>
  </si>
  <si>
    <t>TND</t>
  </si>
  <si>
    <t>د.ت</t>
  </si>
  <si>
    <t>TND - Tunisian Dinar (د.ت)</t>
  </si>
  <si>
    <t>Tongan paʻanga</t>
  </si>
  <si>
    <t>TOP</t>
  </si>
  <si>
    <t>T$</t>
  </si>
  <si>
    <t>TOP - Tongan paʻanga (T$)</t>
  </si>
  <si>
    <t>Turkish Lira</t>
  </si>
  <si>
    <t>TRY</t>
  </si>
  <si>
    <t>YTL</t>
  </si>
  <si>
    <t>TRY - Turkish Lira (YTL)</t>
  </si>
  <si>
    <t>Trinidad Tobago Dollar</t>
  </si>
  <si>
    <t>TTD</t>
  </si>
  <si>
    <t>TTD - Trinidad Tobago Dollar (TTD)</t>
  </si>
  <si>
    <t>NT$</t>
  </si>
  <si>
    <t>TWD - Taiwan Dollar (NT$)</t>
  </si>
  <si>
    <t>Tanzanian Shilling</t>
  </si>
  <si>
    <t>TZS</t>
  </si>
  <si>
    <t>x</t>
  </si>
  <si>
    <t>TZS - Tanzanian Shilling (x)</t>
  </si>
  <si>
    <t>Ukraine Hryvnia</t>
  </si>
  <si>
    <t>UAH</t>
  </si>
  <si>
    <t>UAH - Ukraine Hryvnia ()</t>
  </si>
  <si>
    <t>Ugandan Shilling</t>
  </si>
  <si>
    <t>UGX</t>
  </si>
  <si>
    <t>USh</t>
  </si>
  <si>
    <t>UGX - Ugandan Shilling (USh)</t>
  </si>
  <si>
    <t>Uruguayan New Peso</t>
  </si>
  <si>
    <t>UYU</t>
  </si>
  <si>
    <t>UYU - Uruguayan New Peso (UYU)</t>
  </si>
  <si>
    <t>Uzbekistan Sum</t>
  </si>
  <si>
    <t>UZS</t>
  </si>
  <si>
    <t>UZS - Uzbekistan Sum (UZS)</t>
  </si>
  <si>
    <t>Venezuelan Bolivar</t>
  </si>
  <si>
    <t>VEF</t>
  </si>
  <si>
    <t>VEF - Venezuelan Bolivar (VEF)</t>
  </si>
  <si>
    <t>Vietnam Dong</t>
  </si>
  <si>
    <t>VND</t>
  </si>
  <si>
    <t>₫</t>
  </si>
  <si>
    <t>VND - Vietnam Dong (₫)</t>
  </si>
  <si>
    <t>Vanuatu Vatu</t>
  </si>
  <si>
    <t>VUV</t>
  </si>
  <si>
    <t>Vt</t>
  </si>
  <si>
    <t>VUV - Vanuatu Vatu (Vt)</t>
  </si>
  <si>
    <t>Samoa Tala</t>
  </si>
  <si>
    <t>WST</t>
  </si>
  <si>
    <t>WS$</t>
  </si>
  <si>
    <t>WST - Samoa Tala (WS$)</t>
  </si>
  <si>
    <t>CFA Franc (BEAC)</t>
  </si>
  <si>
    <t>XAF</t>
  </si>
  <si>
    <t>BEAC</t>
  </si>
  <si>
    <t>XAF - CFA Franc (BEAC) (BEAC)</t>
  </si>
  <si>
    <t>East Caribbean Dollar</t>
  </si>
  <si>
    <t>XCD</t>
  </si>
  <si>
    <t>EC$</t>
  </si>
  <si>
    <t>XCD - East Caribbean Dollar (EC$)</t>
  </si>
  <si>
    <t>CFA Franc (BCEAO)</t>
  </si>
  <si>
    <t>XOF</t>
  </si>
  <si>
    <t>BCEAO</t>
  </si>
  <si>
    <t>XOF - CFA Franc (BCEAO) (BCEAO)</t>
  </si>
  <si>
    <t>Pacific Franc</t>
  </si>
  <si>
    <t>XPF</t>
  </si>
  <si>
    <t>F</t>
  </si>
  <si>
    <t>XPF - Pacific Franc (F)</t>
  </si>
  <si>
    <t>Yemen Riyal</t>
  </si>
  <si>
    <t>YER</t>
  </si>
  <si>
    <t>YER - Yemen Riyal (YER)</t>
  </si>
  <si>
    <t>ZAR - South African Rand (R)</t>
  </si>
  <si>
    <t>ZMK</t>
  </si>
  <si>
    <t>ZMK - Zambian Kwacha (ZMK)</t>
  </si>
  <si>
    <t>US Territory</t>
  </si>
  <si>
    <t>Supplier/Individual/Study Participant/ACH/Wire Form</t>
  </si>
  <si>
    <t>Intermediary Banking Information</t>
  </si>
  <si>
    <t>Account Number (Only Applicable For Further Credit):</t>
  </si>
  <si>
    <t>My firm agrees to Net 30 payment terms.</t>
  </si>
  <si>
    <t>My firm has a contract with Emory stating the payment terms.</t>
  </si>
  <si>
    <r>
      <t xml:space="preserve">9. Emory highly encourages that your company be registered with The System for Award Management (SAM) because not doing so can preclude you as a supplier for contracts that Emory has with the U.S. government. For additional information and to register, please visit </t>
    </r>
    <r>
      <rPr>
        <b/>
        <u/>
        <sz val="11"/>
        <color theme="1"/>
        <rFont val="Calibri"/>
        <family val="2"/>
        <scheme val="minor"/>
      </rPr>
      <t>https://www.sam.gov</t>
    </r>
    <r>
      <rPr>
        <b/>
        <sz val="11"/>
        <color theme="1"/>
        <rFont val="Calibri"/>
        <family val="2"/>
        <scheme val="minor"/>
      </rPr>
      <t>/</t>
    </r>
  </si>
  <si>
    <t>7. Emory offers 2 standard payment term options. The first is Net 0 which is through the SUA Program. The second is Net 30. For more information on SUA, please view the comment by hovering your mouse over this box.  Please select your preference.</t>
  </si>
  <si>
    <t>Is the Shipping Address and contact information exactly the same as the Legal Mailing Address?</t>
  </si>
  <si>
    <t>Is the Remit to Address (Billing Address) and contact information exactly the same as the Legal Mailing Address?</t>
  </si>
  <si>
    <t>DC</t>
  </si>
  <si>
    <t>PR</t>
  </si>
  <si>
    <t>3. My firm is not currently debarred, suspended, or proposed for debarment by any federal entity and I agree to notify Emory University Payment Services of any change in status.</t>
  </si>
  <si>
    <t>2. I am not subject to backup withholding because (a) I am exempt from backup withholding, or (b) I have not been notified by the Internal Revenue Service (IRS) that I am subject to backup withholding as a result of a failure to report all interest or dividends, or (c) the IRS has notified me that I am no longer subject to backup withholding.</t>
  </si>
  <si>
    <t>Taxpayer Identification Number (Select Type):</t>
  </si>
  <si>
    <t>Select the appropriate entity type for federal tax classification:</t>
  </si>
  <si>
    <t>Is your company the direct output of a merger, acquisition, or spinoff?</t>
  </si>
  <si>
    <t>Would your company identify as a small and/or diverse business?</t>
  </si>
  <si>
    <t>My firm agrees to Net 0 payment terms through the SUA (Single Use Credit Card) Program.</t>
  </si>
  <si>
    <t>My firm is already enrolled in the SUA (Single Use Credit Card) Program.</t>
  </si>
  <si>
    <t>What is the payment currency that payments should be made in? 
Please note - must match currency on invoice.</t>
  </si>
  <si>
    <t>SAM Unique Entity Identifier Number:</t>
  </si>
  <si>
    <t>Supplier Information Form (SIF) Version 2.0 Effective 2-21-2023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</si>
</sst>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6" x14ac:knownFonts="1">
    <font>
      <sz val="11"/>
      <color theme="1"/>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b/>
      <sz val="14"/>
      <color theme="0"/>
      <name val="Calibri"/>
      <family val="2"/>
      <scheme val="minor"/>
    </font>
    <font>
      <b/>
      <sz val="20"/>
      <color theme="0"/>
      <name val="Calibri"/>
      <family val="2"/>
      <scheme val="minor"/>
    </font>
    <font>
      <b/>
      <sz val="22"/>
      <color rgb="FFFFFF00"/>
      <name val="Calibri"/>
      <family val="2"/>
      <scheme val="minor"/>
    </font>
    <font>
      <u/>
      <sz val="11"/>
      <color theme="10"/>
      <name val="Calibri"/>
      <family val="2"/>
      <scheme val="minor"/>
    </font>
    <font>
      <b/>
      <sz val="16"/>
      <color rgb="FFFFFF00"/>
      <name val="Calibri"/>
      <family val="2"/>
      <scheme val="minor"/>
    </font>
    <font>
      <b/>
      <sz val="9"/>
      <color indexed="81"/>
      <name val="Tahoma"/>
      <family val="2"/>
    </font>
    <font>
      <b/>
      <u/>
      <sz val="11"/>
      <color theme="1"/>
      <name val="Calibri"/>
      <family val="2"/>
      <scheme val="minor"/>
    </font>
    <font>
      <sz val="11"/>
      <color rgb="FFFF0000"/>
      <name val="Calibri"/>
      <family val="2"/>
      <scheme val="minor"/>
    </font>
    <font>
      <sz val="11"/>
      <name val="Calibri"/>
      <family val="2"/>
      <scheme val="minor"/>
    </font>
    <font>
      <sz val="11"/>
      <color theme="1"/>
      <name val="Rockwell Extra Bold"/>
      <family val="1"/>
    </font>
    <font>
      <b/>
      <sz val="11"/>
      <name val="Calibri"/>
      <family val="2"/>
      <scheme val="minor"/>
    </font>
    <font>
      <sz val="9"/>
      <color indexed="81"/>
      <name val="Tahoma"/>
      <family val="2"/>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cellStyleXfs>
  <cellXfs count="61">
    <xf numFmtId="0" fontId="0" fillId="0" borderId="0" xfId="0"/>
    <xf numFmtId="0" fontId="0" fillId="0" borderId="0" xfId="0" applyAlignment="1">
      <alignment vertical="center"/>
    </xf>
    <xf numFmtId="0" fontId="0" fillId="0" borderId="0" xfId="0" applyAlignment="1">
      <alignment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49" fontId="0" fillId="0" borderId="0" xfId="0" applyNumberFormat="1" applyAlignment="1" applyProtection="1">
      <alignment vertical="center"/>
      <protection hidden="1"/>
    </xf>
    <xf numFmtId="0" fontId="0" fillId="0" borderId="0" xfId="0" applyAlignment="1" applyProtection="1">
      <alignment vertical="center"/>
      <protection hidden="1"/>
    </xf>
    <xf numFmtId="0" fontId="1" fillId="3" borderId="1" xfId="0" applyFont="1" applyFill="1" applyBorder="1" applyAlignment="1" applyProtection="1">
      <alignment vertical="center" wrapText="1"/>
      <protection hidden="1"/>
    </xf>
    <xf numFmtId="0" fontId="1" fillId="3" borderId="8" xfId="0" applyFont="1" applyFill="1" applyBorder="1" applyAlignment="1" applyProtection="1">
      <alignment vertical="center" wrapText="1"/>
      <protection hidden="1"/>
    </xf>
    <xf numFmtId="0" fontId="8" fillId="4" borderId="11" xfId="1" applyFont="1" applyFill="1" applyBorder="1" applyAlignment="1" applyProtection="1">
      <alignment horizontal="center" vertical="center" wrapText="1"/>
      <protection locked="0" hidden="1"/>
    </xf>
    <xf numFmtId="0" fontId="7" fillId="0" borderId="0" xfId="1" applyAlignment="1" applyProtection="1">
      <alignment vertical="center"/>
      <protection hidden="1"/>
    </xf>
    <xf numFmtId="0" fontId="11" fillId="0" borderId="0" xfId="0" applyFont="1" applyAlignment="1" applyProtection="1">
      <alignment horizontal="center" vertical="center" wrapText="1"/>
      <protection hidden="1"/>
    </xf>
    <xf numFmtId="0" fontId="11" fillId="0" borderId="0" xfId="0" applyFont="1" applyAlignment="1">
      <alignment horizontal="center" vertical="center"/>
    </xf>
    <xf numFmtId="0" fontId="12" fillId="0" borderId="0" xfId="0" applyFont="1" applyAlignment="1" applyProtection="1">
      <alignment horizontal="center" vertical="center" wrapText="1"/>
      <protection hidden="1"/>
    </xf>
    <xf numFmtId="0" fontId="12" fillId="0" borderId="0" xfId="0" applyFont="1" applyAlignment="1">
      <alignment horizontal="center" vertical="center"/>
    </xf>
    <xf numFmtId="49" fontId="0" fillId="0" borderId="0" xfId="0" applyNumberFormat="1" applyAlignment="1" applyProtection="1">
      <alignment vertical="center" wrapText="1"/>
      <protection hidden="1"/>
    </xf>
    <xf numFmtId="0" fontId="0" fillId="0" borderId="0" xfId="0" applyFill="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pplyProtection="1">
      <alignment vertical="center" wrapText="1"/>
      <protection hidden="1"/>
    </xf>
    <xf numFmtId="0" fontId="0" fillId="0" borderId="1" xfId="0" applyBorder="1" applyAlignment="1" applyProtection="1">
      <alignment vertical="center"/>
      <protection locked="0"/>
    </xf>
    <xf numFmtId="0" fontId="0" fillId="0" borderId="8" xfId="0" applyBorder="1" applyAlignment="1" applyProtection="1">
      <alignment vertical="center"/>
      <protection locked="0"/>
    </xf>
    <xf numFmtId="49" fontId="0" fillId="0" borderId="1" xfId="0" applyNumberFormat="1" applyBorder="1" applyAlignment="1" applyProtection="1">
      <alignment vertical="center" wrapText="1"/>
      <protection locked="0"/>
    </xf>
    <xf numFmtId="49" fontId="7" fillId="0" borderId="1" xfId="1" applyNumberFormat="1" applyBorder="1" applyAlignment="1" applyProtection="1">
      <alignment vertical="center" wrapText="1"/>
      <protection locked="0"/>
    </xf>
    <xf numFmtId="164" fontId="0" fillId="0" borderId="1" xfId="0" applyNumberFormat="1" applyBorder="1" applyAlignment="1" applyProtection="1">
      <alignment horizontal="left" vertical="center" wrapText="1"/>
      <protection locked="0"/>
    </xf>
    <xf numFmtId="49" fontId="0" fillId="0" borderId="1" xfId="0" applyNumberFormat="1" applyBorder="1" applyAlignment="1" applyProtection="1">
      <alignment vertical="center"/>
      <protection locked="0"/>
    </xf>
    <xf numFmtId="49" fontId="7" fillId="0" borderId="1" xfId="1" applyNumberFormat="1" applyBorder="1" applyAlignment="1" applyProtection="1">
      <alignment vertical="center"/>
      <protection locked="0"/>
    </xf>
    <xf numFmtId="164" fontId="0" fillId="0" borderId="1" xfId="0" applyNumberFormat="1" applyBorder="1" applyAlignment="1" applyProtection="1">
      <alignment horizontal="left" vertical="center"/>
      <protection locked="0"/>
    </xf>
    <xf numFmtId="0" fontId="1" fillId="3" borderId="1" xfId="0" applyFont="1" applyFill="1" applyBorder="1" applyAlignment="1" applyProtection="1">
      <alignment vertical="center" wrapText="1"/>
      <protection locked="0" hidden="1"/>
    </xf>
    <xf numFmtId="49" fontId="13" fillId="0" borderId="1" xfId="0" applyNumberFormat="1" applyFont="1" applyBorder="1" applyAlignment="1" applyProtection="1">
      <alignment vertical="center" wrapText="1"/>
      <protection locked="0"/>
    </xf>
    <xf numFmtId="49" fontId="13" fillId="0" borderId="1" xfId="0" applyNumberFormat="1" applyFont="1" applyBorder="1" applyAlignment="1" applyProtection="1">
      <alignment vertical="center"/>
      <protection locked="0"/>
    </xf>
    <xf numFmtId="0" fontId="1" fillId="0" borderId="0" xfId="0" applyFont="1" applyAlignment="1" applyProtection="1">
      <alignment vertical="center"/>
      <protection hidden="1"/>
    </xf>
    <xf numFmtId="0" fontId="14" fillId="3" borderId="1" xfId="1" applyFont="1" applyFill="1" applyBorder="1" applyAlignment="1" applyProtection="1">
      <alignment vertical="center" wrapText="1"/>
      <protection locked="0" hidden="1"/>
    </xf>
    <xf numFmtId="0" fontId="12" fillId="0" borderId="1" xfId="1" applyNumberFormat="1" applyFont="1" applyBorder="1" applyAlignment="1" applyProtection="1">
      <alignment horizontal="left" vertical="center" wrapText="1"/>
      <protection locked="0"/>
    </xf>
    <xf numFmtId="49" fontId="12" fillId="0" borderId="1" xfId="1" applyNumberFormat="1" applyFont="1" applyBorder="1" applyAlignment="1" applyProtection="1">
      <alignment vertical="center" wrapText="1"/>
      <protection locked="0"/>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0" fillId="3" borderId="4" xfId="0" applyFill="1" applyBorder="1" applyAlignment="1" applyProtection="1">
      <alignment vertical="center" wrapText="1"/>
      <protection hidden="1"/>
    </xf>
    <xf numFmtId="0" fontId="0" fillId="3" borderId="5" xfId="0" applyFill="1" applyBorder="1" applyAlignment="1" applyProtection="1">
      <alignment vertical="center" wrapText="1"/>
      <protection hidden="1"/>
    </xf>
    <xf numFmtId="0" fontId="3" fillId="3" borderId="6" xfId="0" applyFont="1" applyFill="1" applyBorder="1" applyAlignment="1" applyProtection="1">
      <alignment vertical="center" wrapText="1"/>
      <protection hidden="1"/>
    </xf>
    <xf numFmtId="0" fontId="3" fillId="3" borderId="7" xfId="0" applyFont="1" applyFill="1" applyBorder="1" applyAlignment="1" applyProtection="1">
      <alignment vertical="center" wrapText="1"/>
      <protection hidden="1"/>
    </xf>
    <xf numFmtId="0" fontId="6" fillId="4" borderId="9" xfId="0" applyFont="1" applyFill="1" applyBorder="1" applyAlignment="1" applyProtection="1">
      <alignment horizontal="center" vertical="center" wrapText="1"/>
      <protection locked="0" hidden="1"/>
    </xf>
    <xf numFmtId="0" fontId="6" fillId="4" borderId="10" xfId="0" applyFont="1" applyFill="1" applyBorder="1" applyAlignment="1" applyProtection="1">
      <alignment horizontal="center" vertical="center" wrapText="1"/>
      <protection locked="0" hidden="1"/>
    </xf>
    <xf numFmtId="0" fontId="4" fillId="2" borderId="0" xfId="0" applyFont="1" applyFill="1" applyAlignment="1" applyProtection="1">
      <alignment horizontal="center" vertical="center" wrapText="1"/>
      <protection hidden="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2" fillId="2" borderId="0" xfId="0" applyFont="1" applyFill="1" applyAlignment="1">
      <alignment horizontal="center" vertical="center" wrapText="1"/>
    </xf>
    <xf numFmtId="0" fontId="6" fillId="4" borderId="9" xfId="0" applyFont="1" applyFill="1" applyBorder="1" applyAlignment="1" applyProtection="1">
      <alignment horizontal="center" vertical="center" wrapText="1"/>
      <protection hidden="1"/>
    </xf>
    <xf numFmtId="0" fontId="6" fillId="4" borderId="10"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top" wrapText="1"/>
      <protection hidden="1"/>
    </xf>
    <xf numFmtId="0" fontId="2" fillId="2" borderId="0" xfId="0" applyFont="1" applyFill="1" applyAlignment="1" applyProtection="1">
      <alignment horizontal="center" vertical="top" wrapText="1"/>
      <protection hidden="1"/>
    </xf>
    <xf numFmtId="0" fontId="2" fillId="2" borderId="0" xfId="0" applyFont="1" applyFill="1" applyAlignment="1" applyProtection="1">
      <alignment horizontal="center" vertical="center" wrapText="1"/>
      <protection hidden="1"/>
    </xf>
    <xf numFmtId="0" fontId="1" fillId="5" borderId="2" xfId="0" applyFont="1" applyFill="1" applyBorder="1" applyAlignment="1" applyProtection="1">
      <alignment horizontal="center" vertical="center" wrapText="1"/>
      <protection hidden="1"/>
    </xf>
    <xf numFmtId="0" fontId="1" fillId="5" borderId="3" xfId="0" applyFont="1" applyFill="1" applyBorder="1" applyAlignment="1" applyProtection="1">
      <alignment horizontal="center" vertical="center" wrapText="1"/>
      <protection hidden="1"/>
    </xf>
  </cellXfs>
  <cellStyles count="2">
    <cellStyle name="Hyperlink" xfId="1" builtinId="8"/>
    <cellStyle name="Normal" xfId="0" builtinId="0"/>
  </cellStyles>
  <dxfs count="58">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dxf>
    <dxf>
      <fill>
        <patternFill>
          <bgColor rgb="FFFF0000"/>
        </patternFill>
      </fill>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1428750</xdr:colOff>
      <xdr:row>1</xdr:row>
      <xdr:rowOff>28575</xdr:rowOff>
    </xdr:from>
    <xdr:to>
      <xdr:col>3</xdr:col>
      <xdr:colOff>142875</xdr:colOff>
      <xdr:row>1</xdr:row>
      <xdr:rowOff>676275</xdr:rowOff>
    </xdr:to>
    <xdr:grpSp>
      <xdr:nvGrpSpPr>
        <xdr:cNvPr id="7" name="Group 6">
          <a:extLst>
            <a:ext uri="{FF2B5EF4-FFF2-40B4-BE49-F238E27FC236}">
              <a16:creationId xmlns:a16="http://schemas.microsoft.com/office/drawing/2014/main" id="{377637B2-1AED-47DC-B875-160404A4D3EF}"/>
            </a:ext>
          </a:extLst>
        </xdr:cNvPr>
        <xdr:cNvGrpSpPr/>
      </xdr:nvGrpSpPr>
      <xdr:grpSpPr>
        <a:xfrm>
          <a:off x="1943100" y="219075"/>
          <a:ext cx="4429125" cy="647700"/>
          <a:chOff x="1971675" y="95250"/>
          <a:chExt cx="4429125" cy="647700"/>
        </a:xfrm>
      </xdr:grpSpPr>
      <xdr:pic>
        <xdr:nvPicPr>
          <xdr:cNvPr id="2" name="Picture 1">
            <a:extLst>
              <a:ext uri="{FF2B5EF4-FFF2-40B4-BE49-F238E27FC236}">
                <a16:creationId xmlns:a16="http://schemas.microsoft.com/office/drawing/2014/main" id="{39D38DD1-57B7-40D5-9A18-9F397790E117}"/>
              </a:ext>
            </a:extLst>
          </xdr:cNvPr>
          <xdr:cNvPicPr>
            <a:picLocks noChangeAspect="1"/>
          </xdr:cNvPicPr>
        </xdr:nvPicPr>
        <xdr:blipFill>
          <a:blip xmlns:r="http://schemas.openxmlformats.org/officeDocument/2006/relationships" r:embed="rId1"/>
          <a:stretch>
            <a:fillRect/>
          </a:stretch>
        </xdr:blipFill>
        <xdr:spPr>
          <a:xfrm>
            <a:off x="1971675" y="95250"/>
            <a:ext cx="4337685" cy="590550"/>
          </a:xfrm>
          <a:prstGeom prst="rect">
            <a:avLst/>
          </a:prstGeom>
        </xdr:spPr>
      </xdr:pic>
      <xdr:sp macro="" textlink="">
        <xdr:nvSpPr>
          <xdr:cNvPr id="6" name="TextBox 5">
            <a:extLst>
              <a:ext uri="{FF2B5EF4-FFF2-40B4-BE49-F238E27FC236}">
                <a16:creationId xmlns:a16="http://schemas.microsoft.com/office/drawing/2014/main" id="{E8940A1C-4CAB-4F6D-929B-1B9D1DF89B6A}"/>
              </a:ext>
            </a:extLst>
          </xdr:cNvPr>
          <xdr:cNvSpPr txBox="1"/>
        </xdr:nvSpPr>
        <xdr:spPr>
          <a:xfrm>
            <a:off x="2524126" y="114302"/>
            <a:ext cx="3876674" cy="6286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lang="en-US" sz="2800" b="1">
                <a:solidFill>
                  <a:srgbClr val="002060"/>
                </a:solidFill>
                <a:latin typeface="Garamond" panose="02020404030301010803" pitchFamily="18" charset="0"/>
              </a:rPr>
              <a:t>EMORY UNIVERSITY</a:t>
            </a:r>
          </a:p>
          <a:p>
            <a:pPr algn="ctr"/>
            <a:r>
              <a:rPr lang="en-US" sz="1600" b="1">
                <a:solidFill>
                  <a:srgbClr val="002060"/>
                </a:solidFill>
                <a:latin typeface="Garamond" panose="02020404030301010803" pitchFamily="18" charset="0"/>
              </a:rPr>
              <a:t>Accounts Payable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25A3-8434-4831-9341-009D33DA6AC1}">
  <sheetPr>
    <tabColor rgb="FF00B050"/>
  </sheetPr>
  <dimension ref="C1:I10"/>
  <sheetViews>
    <sheetView showGridLines="0" tabSelected="1" workbookViewId="0">
      <selection activeCell="D7" sqref="D7"/>
    </sheetView>
  </sheetViews>
  <sheetFormatPr defaultColWidth="9.140625" defaultRowHeight="15" x14ac:dyDescent="0.25"/>
  <cols>
    <col min="1" max="1" width="4.140625" style="8" customWidth="1"/>
    <col min="2" max="2" width="3.5703125" style="8" customWidth="1"/>
    <col min="3" max="3" width="85.7109375" style="6" customWidth="1"/>
    <col min="4" max="4" width="22.5703125" style="8" customWidth="1"/>
    <col min="5" max="16384" width="9.140625" style="8"/>
  </cols>
  <sheetData>
    <row r="1" spans="3:9" x14ac:dyDescent="0.25">
      <c r="C1" s="22" t="s">
        <v>1062</v>
      </c>
    </row>
    <row r="2" spans="3:9" ht="54" customHeight="1" x14ac:dyDescent="0.25">
      <c r="C2" s="38"/>
      <c r="D2" s="39"/>
      <c r="I2" s="12"/>
    </row>
    <row r="3" spans="3:9" ht="26.25" x14ac:dyDescent="0.25">
      <c r="C3" s="40" t="s">
        <v>1041</v>
      </c>
      <c r="D3" s="41"/>
    </row>
    <row r="4" spans="3:9" ht="67.5" customHeight="1" x14ac:dyDescent="0.25">
      <c r="C4" s="42" t="s">
        <v>97</v>
      </c>
      <c r="D4" s="43"/>
    </row>
    <row r="5" spans="3:9" ht="28.15" customHeight="1" x14ac:dyDescent="0.25">
      <c r="C5" s="44" t="s">
        <v>0</v>
      </c>
      <c r="D5" s="45"/>
    </row>
    <row r="6" spans="3:9" ht="24" customHeight="1" x14ac:dyDescent="0.25">
      <c r="C6" s="48" t="s">
        <v>98</v>
      </c>
      <c r="D6" s="48"/>
    </row>
    <row r="7" spans="3:9" x14ac:dyDescent="0.25">
      <c r="C7" s="9" t="s">
        <v>83</v>
      </c>
      <c r="D7" s="23"/>
    </row>
    <row r="8" spans="3:9" ht="15.75" thickBot="1" x14ac:dyDescent="0.3">
      <c r="C8" s="10" t="str">
        <f>IF(D7="","",IF(D7="Company","Is your company a US based entity for tax purposes?","Are you a US citizen or resident for tax purposes?"))</f>
        <v/>
      </c>
      <c r="D8" s="24"/>
    </row>
    <row r="9" spans="3:9" ht="30" thickTop="1" thickBot="1" x14ac:dyDescent="0.3">
      <c r="C9" s="46" t="str">
        <f>IF(AND(D7&lt;&gt;"",D8="No"),HYPERLINK(CONCATENATE("#FRGN!h4"),"Click Here to Proceed"),IF(AND(D7="Study Participant",D8="Yes"),HYPERLINK(CONCATENATE("#STPT!h10"),"Click Here to Proceed"),IF(AND(D7="Individual",D8="Yes"),HYPERLINK(CONCATENATE("#INDV!h4"),"Click Here to Proceed"),IF(AND(D7="Company",D8="Yes"),HYPERLINK(CONCATENATE("#CPNY!h4"),"Click Here to Proceed"),"Please fill in all Yellow Cells"))))</f>
        <v>Please fill in all Yellow Cells</v>
      </c>
      <c r="D9" s="47"/>
    </row>
    <row r="10" spans="3:9" ht="17.25" customHeight="1" thickTop="1" x14ac:dyDescent="0.25"/>
  </sheetData>
  <sheetProtection algorithmName="SHA-512" hashValue="/8vz4CRUoOeMcoVn2hLHFigmITTkaATb1xDcZDjnwtGgKnFXRxBTcCtsymOzYHYUQLt222IRpk2ViDgCn/W4qw==" saltValue="vNUA9wlEt6bsyzclqJp06Q==" spinCount="100000" sheet="1" selectLockedCells="1"/>
  <mergeCells count="6">
    <mergeCell ref="C2:D2"/>
    <mergeCell ref="C3:D3"/>
    <mergeCell ref="C4:D4"/>
    <mergeCell ref="C5:D5"/>
    <mergeCell ref="C9:D9"/>
    <mergeCell ref="C6:D6"/>
  </mergeCells>
  <conditionalFormatting sqref="D7">
    <cfRule type="containsBlanks" dxfId="57" priority="3">
      <formula>LEN(TRIM(D7))=0</formula>
    </cfRule>
  </conditionalFormatting>
  <conditionalFormatting sqref="D8">
    <cfRule type="expression" dxfId="56" priority="1">
      <formula>AND($D$8="",$D$7&lt;&gt;"Study Participant",$D$7&lt;&gt;"")</formula>
    </cfRule>
  </conditionalFormatting>
  <dataValidations count="2">
    <dataValidation type="list" allowBlank="1" showInputMessage="1" showErrorMessage="1" sqref="D7" xr:uid="{D0A46311-5840-45B8-BA18-D392A95AFBE4}">
      <formula1>"Company,Individual,Study Participant"</formula1>
    </dataValidation>
    <dataValidation type="list" allowBlank="1" showInputMessage="1" showErrorMessage="1" sqref="D8" xr:uid="{B0B48726-72D0-488E-B9C5-B2F9C36B9EB0}">
      <formula1>"Yes,No"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744CD-8DDD-44D2-9AE2-BF95FA8F1FB2}">
  <dimension ref="B1:J72"/>
  <sheetViews>
    <sheetView showGridLines="0" zoomScaleNormal="100" workbookViewId="0">
      <pane ySplit="2" topLeftCell="A3" activePane="bottomLeft" state="frozen"/>
      <selection pane="bottomLeft" activeCell="H4" sqref="H4"/>
    </sheetView>
  </sheetViews>
  <sheetFormatPr defaultColWidth="9.140625" defaultRowHeight="15" x14ac:dyDescent="0.25"/>
  <cols>
    <col min="1" max="1" width="1.140625" style="8" customWidth="1"/>
    <col min="2" max="2" width="12.5703125" style="5" hidden="1" customWidth="1"/>
    <col min="3" max="3" width="9.85546875" style="5" hidden="1" customWidth="1"/>
    <col min="4" max="4" width="9.7109375" style="5" hidden="1" customWidth="1"/>
    <col min="5" max="6" width="4.7109375" style="5" hidden="1" customWidth="1"/>
    <col min="7" max="7" width="65.7109375" style="6" customWidth="1"/>
    <col min="8" max="8" width="74.28515625" style="7" customWidth="1"/>
    <col min="9" max="9" width="1.28515625" style="8" customWidth="1"/>
    <col min="10" max="10" width="12" style="8" customWidth="1"/>
    <col min="11" max="16384" width="9.140625" style="8"/>
  </cols>
  <sheetData>
    <row r="1" spans="2:10" ht="15.75" thickBot="1" x14ac:dyDescent="0.3">
      <c r="G1" s="34" t="str">
        <f>Home!C1&amp;" ("&amp;IF(Home!D8="No","Foreign Source Statement for ","")&amp;Home!$D$7&amp;")"</f>
        <v>Supplier Information Form (SIF) Version 2.0 Effective 2-21-2023 ()</v>
      </c>
    </row>
    <row r="2" spans="2:10" ht="63" customHeight="1" thickTop="1" thickBot="1" x14ac:dyDescent="0.3">
      <c r="B2" s="5" t="str">
        <f>IF(Home!$D$8="No","Conditional Formatting","")</f>
        <v/>
      </c>
      <c r="C2" s="5" t="s">
        <v>28</v>
      </c>
      <c r="D2" s="5" t="s">
        <v>89</v>
      </c>
      <c r="G2" s="54" t="str">
        <f>IF(AND(COUNTIF($B$3:$B$72,"R")&gt;0,COUNTIF($B$3:$B$72,"C")&gt;0),"There are "&amp;COUNTIF($B$3:$B$72,"R")&amp;" required fields remaining highlighted in yellow with mini-dots."&amp;CHAR(10)&amp;"There are "&amp;COUNTIF($B$3:$B$72,"C")&amp;" fields that need correction highlighted in red.",IF(AND(COUNTIF($B$3:$B$72,"R")&gt;0,COUNTIF($B$3:$B$72,"C")=0),"There are "&amp;COUNTIF($B$3:$B$72,"R")&amp;" required fields remaining highlighted in yellow with mini-dots.",IF(AND(COUNTIF($B$3:$B$72,"R")=0,COUNTIF($B$3:$B$72,"C")&gt;0),"There are "&amp;COUNTIF($B$3:$B$72,"C")&amp;" fields that need correction highlighted in red.","Completed! Please submit this excel file to the Emory personnel that provided you this form.")))</f>
        <v>Completed! Please submit this excel file to the Emory personnel that provided you this form.</v>
      </c>
      <c r="H2" s="55"/>
      <c r="J2" s="11" t="str">
        <f>HYPERLINK(CONCATENATE("#Home!D8"),"Click Here to Go Back")</f>
        <v>Click Here to Go Back</v>
      </c>
    </row>
    <row r="3" spans="2:10" ht="23.25" customHeight="1" thickTop="1" x14ac:dyDescent="0.25">
      <c r="B3" s="5" t="str">
        <f>IF(OR(Home!$D$8="",Home!$D$8="Yes"),"",IF(H3="",HLOOKUP(Home!$D$8,FRGN!$D$2:$F$72,ROW(A2),FALSE),IF(C3=FALSE,"C")))</f>
        <v/>
      </c>
      <c r="C3" s="5" t="b">
        <v>1</v>
      </c>
      <c r="D3" s="15" t="s">
        <v>22</v>
      </c>
      <c r="E3" s="15"/>
      <c r="F3" s="15"/>
      <c r="G3" s="48" t="str">
        <f>Home!$D$7&amp;" Prerequisite Questions"</f>
        <v xml:space="preserve"> Prerequisite Questions</v>
      </c>
      <c r="H3" s="58"/>
    </row>
    <row r="4" spans="2:10" ht="30.75" customHeight="1" x14ac:dyDescent="0.25">
      <c r="B4" s="5" t="str">
        <f>IF(OR(Home!$D$8="",Home!$D$8="Yes"),"",IF(H4="",HLOOKUP(Home!$D$8,FRGN!$D$2:$F$72,ROW(A3),FALSE),IF(C4=FALSE,"C")))</f>
        <v/>
      </c>
      <c r="C4" s="5" t="b">
        <v>1</v>
      </c>
      <c r="D4" s="15" t="s">
        <v>14</v>
      </c>
      <c r="E4" s="15"/>
      <c r="F4" s="15"/>
      <c r="G4" s="9" t="str">
        <f>IF(Home!$D$7="Company","Is your company",IF(Home!$D$7&lt;&gt;"Company","Are you",""))&amp;" filling out this form to update current information on file with Emory? If not sure, select 'No' from drop down box."</f>
        <v>Are you filling out this form to update current information on file with Emory? If not sure, select 'No' from drop down box.</v>
      </c>
      <c r="H4" s="25"/>
    </row>
    <row r="5" spans="2:10" ht="30.75" customHeight="1" x14ac:dyDescent="0.25">
      <c r="B5" s="5" t="str">
        <f>IF(OR(Home!$D$8="",Home!$D$8="Yes"),"",IF(H5="",HLOOKUP(Home!$D$8,FRGN!$D$2:$F$72,ROW(A4),FALSE),IF(C5=FALSE,"C")))</f>
        <v/>
      </c>
      <c r="C5" s="5" t="b">
        <v>1</v>
      </c>
      <c r="D5" s="15" t="str">
        <f>IF(H4="Yes","R","Y")</f>
        <v>Y</v>
      </c>
      <c r="E5" s="15"/>
      <c r="F5" s="15"/>
      <c r="G5" s="9" t="str">
        <f>IF(H4="Yes",IF(Home!$D$7="Company","Does your company",IF(Home!$D$7&lt;&gt;"Company","Do you",""))&amp;" only need to update the Wire Payment information on file with Emory?","")</f>
        <v/>
      </c>
      <c r="H5" s="25"/>
    </row>
    <row r="6" spans="2:10" ht="30.75" customHeight="1" x14ac:dyDescent="0.25">
      <c r="B6" s="5" t="str">
        <f>IF(OR(Home!$D$8="",Home!$D$8="Yes"),"",IF(H6="",HLOOKUP(Home!$D$8,FRGN!$D$2:$F$72,ROW(A5),FALSE),IF(C6=FALSE,"C")))</f>
        <v/>
      </c>
      <c r="C6" s="5" t="b">
        <v>1</v>
      </c>
      <c r="D6" s="15" t="str">
        <f>IF(Home!D7="Company","R","Y")</f>
        <v>Y</v>
      </c>
      <c r="E6" s="15"/>
      <c r="F6" s="15"/>
      <c r="G6" s="9" t="str">
        <f>IF(Home!D7="Company","Is your company the direct output of a merger, acquisition, or spinoff?","")</f>
        <v/>
      </c>
      <c r="H6" s="25"/>
    </row>
    <row r="7" spans="2:10" ht="46.5" customHeight="1" x14ac:dyDescent="0.25">
      <c r="B7" s="5" t="str">
        <f>IF(OR(Home!$D$8="",Home!$D$8="Yes"),"",IF(H7="",HLOOKUP(Home!$D$8,FRGN!$D$2:$F$72,ROW(A6),FALSE),IF(C7=FALSE,"C")))</f>
        <v/>
      </c>
      <c r="C7" s="5" t="b">
        <v>1</v>
      </c>
      <c r="D7" s="15" t="str">
        <f>IF(H6="Yes","R","Y")</f>
        <v>Y</v>
      </c>
      <c r="E7" s="15"/>
      <c r="F7" s="15"/>
      <c r="G7" s="9" t="str">
        <f>IF(H6="Yes","Please provide a brief description of the merger, acquisition, or spinoff:","")</f>
        <v/>
      </c>
      <c r="H7" s="25"/>
    </row>
    <row r="8" spans="2:10" ht="14.25" customHeight="1" x14ac:dyDescent="0.25">
      <c r="B8" s="5" t="str">
        <f>IF(OR(Home!$D$8="",Home!$D$8="Yes"),"",IF(H8="",HLOOKUP(Home!$D$8,FRGN!$D$2:$F$72,ROW(A7),FALSE),IF(C8=FALSE,"C")))</f>
        <v/>
      </c>
      <c r="C8" s="5" t="b">
        <v>1</v>
      </c>
      <c r="D8" s="15" t="s">
        <v>22</v>
      </c>
      <c r="E8" s="15"/>
      <c r="F8" s="15"/>
      <c r="G8" s="48"/>
      <c r="H8" s="58"/>
    </row>
    <row r="9" spans="2:10" ht="30.75" customHeight="1" x14ac:dyDescent="0.25">
      <c r="B9" s="5" t="str">
        <f>IF(OR(Home!$D$8="",Home!$D$8="Yes"),"",IF(H9="",HLOOKUP(Home!$D$8,FRGN!$D$2:$F$72,ROW(A8),FALSE),IF(C9=FALSE,"C")))</f>
        <v/>
      </c>
      <c r="C9" s="5" t="b">
        <v>1</v>
      </c>
      <c r="D9" s="15" t="str">
        <f>IF(COUNTIF($B$4:$B$7,"R")&gt;0,"","Y")</f>
        <v>Y</v>
      </c>
      <c r="G9" s="56" t="str">
        <f>Home!$D$7&amp;" Name and General Information"</f>
        <v xml:space="preserve"> Name and General Information</v>
      </c>
      <c r="H9" s="57"/>
    </row>
    <row r="10" spans="2:10" x14ac:dyDescent="0.25">
      <c r="B10" s="5" t="str">
        <f>IF(OR(Home!$D$8="",Home!$D$8="Yes"),"",IF(H10="",HLOOKUP(Home!$D$8,FRGN!$D$2:$F$72,ROW(A9),FALSE),IF(C10=FALSE,"C")))</f>
        <v/>
      </c>
      <c r="C10" s="5" t="b">
        <v>1</v>
      </c>
      <c r="D10" s="15" t="str">
        <f>IF(COUNTIF($B$4:$B$7,"R")&gt;0,"",IF($H$5="Yes","Y","R"))</f>
        <v>R</v>
      </c>
      <c r="G10" s="9" t="s">
        <v>86</v>
      </c>
      <c r="H10" s="28"/>
    </row>
    <row r="11" spans="2:10" x14ac:dyDescent="0.25">
      <c r="B11" s="5" t="str">
        <f>IF(OR(Home!$D$8="",Home!$D$8="Yes"),"",IF(H11="",HLOOKUP(Home!$D$8,FRGN!$D$2:$F$72,ROW(A10),FALSE),IF(C11=FALSE,"C")))</f>
        <v/>
      </c>
      <c r="C11" s="5" t="b">
        <v>1</v>
      </c>
      <c r="D11" s="15" t="str">
        <f>IF(COUNTIF($B$4:$B$7,"R")&gt;0,"","Y")</f>
        <v>Y</v>
      </c>
      <c r="G11" s="9" t="s">
        <v>93</v>
      </c>
      <c r="H11" s="28"/>
    </row>
    <row r="12" spans="2:10" x14ac:dyDescent="0.25">
      <c r="B12" s="5" t="str">
        <f>IF(OR(Home!$D$8="",Home!$D$8="Yes"),"",IF(H12="",HLOOKUP(Home!$D$8,FRGN!$D$2:$F$72,ROW(A11),FALSE),IF(C12=FALSE,"C")))</f>
        <v/>
      </c>
      <c r="C12" s="5" t="b">
        <v>1</v>
      </c>
      <c r="D12" s="15" t="str">
        <f t="shared" ref="D12:D14" si="0">IF(COUNTIF($B$4:$B$7,"R")&gt;0,"",IF($H$5="Yes","Y","R"))</f>
        <v>R</v>
      </c>
      <c r="G12" s="9" t="s">
        <v>1</v>
      </c>
      <c r="H12" s="28"/>
    </row>
    <row r="13" spans="2:10" x14ac:dyDescent="0.25">
      <c r="B13" s="5" t="str">
        <f>IF(OR(Home!$D$8="",Home!$D$8="Yes"),"",IF(H13="",HLOOKUP(Home!$D$8,FRGN!$D$2:$F$72,ROW(A12),FALSE),IF(C13=FALSE,"C")))</f>
        <v/>
      </c>
      <c r="C13" s="5" t="b">
        <f>ISNUMBER(H13+0)</f>
        <v>1</v>
      </c>
      <c r="D13" s="15" t="str">
        <f t="shared" si="0"/>
        <v>R</v>
      </c>
      <c r="G13" s="9" t="s">
        <v>3</v>
      </c>
      <c r="H13" s="28"/>
    </row>
    <row r="14" spans="2:10" x14ac:dyDescent="0.25">
      <c r="B14" s="5" t="str">
        <f>IF(OR(Home!$D$8="",Home!$D$8="Yes"),"",IF(H14="",HLOOKUP(Home!$D$8,FRGN!$D$2:$F$72,ROW(A13),FALSE),IF(C14=FALSE,"C")))</f>
        <v/>
      </c>
      <c r="C14" s="5" t="b">
        <f>IF(H14="",TRUE,ISNUMBER(FIND("@",H14,1)+FIND(".",H14,1)))</f>
        <v>1</v>
      </c>
      <c r="D14" s="15" t="str">
        <f t="shared" si="0"/>
        <v>R</v>
      </c>
      <c r="G14" s="9" t="s">
        <v>4</v>
      </c>
      <c r="H14" s="29"/>
    </row>
    <row r="15" spans="2:10" x14ac:dyDescent="0.25">
      <c r="B15" s="5" t="str">
        <f>IF(OR(Home!$D$8="",Home!$D$8="Yes"),"",IF(H15="",HLOOKUP(Home!$D$8,FRGN!$D$2:$F$72,ROW(A14),FALSE),IF(C15=FALSE,"C")))</f>
        <v/>
      </c>
      <c r="C15" s="5" t="b">
        <v>1</v>
      </c>
      <c r="D15" s="15" t="str">
        <f>IF(COUNTIF($B$4:$B$7,"R")&gt;0,"",IF($H$5="Yes","Y",IF(Home!D7="Company","R","Y")))</f>
        <v>Y</v>
      </c>
      <c r="G15" s="9" t="str">
        <f>IF(Home!D7="Company","Select the classification that best describes your organization:","")</f>
        <v/>
      </c>
      <c r="H15" s="28"/>
    </row>
    <row r="16" spans="2:10" ht="61.5" customHeight="1" x14ac:dyDescent="0.25">
      <c r="B16" s="5" t="str">
        <f>IF(OR(Home!$D$8="",Home!$D$8="Yes"),"",IF(H16="",HLOOKUP(Home!$D$8,FRGN!$D$2:$F$72,ROW(A15),FALSE),IF(C16=FALSE,"C")))</f>
        <v/>
      </c>
      <c r="C16" s="5" t="b">
        <f>IF(H16="No",FALSE,TRUE)</f>
        <v>1</v>
      </c>
      <c r="D16" s="15" t="str">
        <f>IF(COUNTIF($B$4:$B$7,"R")&gt;0,"",IF($H$5="Yes","Y",IF(OR(G15="",H15&lt;&gt;""),"R","Y")))</f>
        <v>R</v>
      </c>
      <c r="G16" s="31" t="str">
        <f>IF(Home!D7&lt;&gt;"Company",HYPERLINK("https://finance.emory.edu/home/accounting/forms/index.html","A W-8 form is required to be completed. Based on classification above it is recommended that you complete the W-8BEN Certificate of Foreign Status. Click Here to Access the form. Please indicate a W-8 form has been completed:"),IF(H15="Foreign Company and a Financial Institution (FFI)",HYPERLINK("https://finance.emory.edu/home/accounting/forms/index.html","A W-8 form is required to be completed. Based on classification above it is recommended that you complete the W-8BEN-E Long Form. Click Here to Access the form. Please indicate a W-8 form has been completed:"),IF(H15="Foreign Company and not a Financial Institution",HYPERLINK("https://finance.emory.edu/home/accounting/forms/index.html","A W-8 form is required to be completed. Based on classification above it is recommended that you complete the W-8BEN-E Short Form. Click Here to Access the form. Please indicate a W-8 form has been completed:"),"")))</f>
        <v>A W-8 form is required to be completed. Based on classification above it is recommended that you complete the W-8BEN Certificate of Foreign Status. Click Here to Access the form. Please indicate a W-8 form has been completed:</v>
      </c>
      <c r="H16" s="28"/>
    </row>
    <row r="17" spans="2:8" x14ac:dyDescent="0.25">
      <c r="B17" s="5" t="str">
        <f>IF(OR(Home!$D$8="",Home!$D$8="Yes"),"",IF(H17="",HLOOKUP(Home!$D$8,FRGN!$D$2:$F$72,ROW(A16),FALSE),IF(C17=FALSE,"C")))</f>
        <v/>
      </c>
      <c r="C17" s="5" t="b">
        <f>LEN(H17)=12</f>
        <v>0</v>
      </c>
      <c r="D17" s="15" t="str">
        <f>IF(COUNTIF($B$4:$B$7,"R")&gt;0,"",IF(OR($H$5="Yes",$H$15="",Home!D7&lt;&gt;"Company"),"Y","Y"))</f>
        <v>Y</v>
      </c>
      <c r="G17" s="9" t="str">
        <f>IF(OR($H$15="",Home!D7&lt;&gt;"Company"),"","SAM Unique Entity Identifier Number:")</f>
        <v/>
      </c>
      <c r="H17" s="28"/>
    </row>
    <row r="18" spans="2:8" ht="54" customHeight="1" x14ac:dyDescent="0.25">
      <c r="B18" s="5" t="str">
        <f>IF(OR(Home!$D$8="",Home!$D$8="Yes"),"",IF(H18="",HLOOKUP(Home!$D$8,FRGN!$D$2:$F$72,ROW(A17),FALSE),IF(C18=FALSE,"C")))</f>
        <v/>
      </c>
      <c r="C18" s="5" t="b">
        <v>1</v>
      </c>
      <c r="D18" s="15" t="str">
        <f>IF(COUNTIF($B$4:$B$7,"R")&gt;0,"",IF(OR($H$5="Yes",$H$15="",ISNUMBER(H17+0),Home!D7&lt;&gt;"Company"),"Y","R"))</f>
        <v>Y</v>
      </c>
      <c r="G18" s="9" t="str">
        <f>IF(OR($H$15="",Home!D7&lt;&gt;"Company",$H$17="",ISNUMBER($H$17+0)),"","Please explain why a DUNS # cannot be obtain:")</f>
        <v/>
      </c>
      <c r="H18" s="28"/>
    </row>
    <row r="19" spans="2:8" x14ac:dyDescent="0.25">
      <c r="B19" s="5" t="str">
        <f>IF(OR(Home!$D$8="",Home!$D$8="Yes"),"",IF(H19="",HLOOKUP(Home!$D$8,FRGN!$D$2:$F$72,ROW(A18),FALSE),IF(C19=FALSE,"C")))</f>
        <v/>
      </c>
      <c r="C19" s="5" t="b">
        <v>1</v>
      </c>
      <c r="D19" s="15" t="str">
        <f>IF(COUNTIF($B$4:$B$7,"R")&gt;0,"",IF($H$5="Yes","Y","R"))</f>
        <v>R</v>
      </c>
      <c r="G19" s="9" t="s">
        <v>85</v>
      </c>
      <c r="H19" s="28"/>
    </row>
    <row r="20" spans="2:8" ht="33" customHeight="1" x14ac:dyDescent="0.25">
      <c r="B20" s="5" t="str">
        <f>IF(OR(Home!$D$8="",Home!$D$8="Yes"),"",IF(H20="",HLOOKUP(Home!$D$8,FRGN!$D$2:$F$72,ROW(A19),FALSE),IF(C20=FALSE,"C")))</f>
        <v/>
      </c>
      <c r="C20" s="5" t="b">
        <v>1</v>
      </c>
      <c r="D20" s="15" t="str">
        <f>IF(COUNTIF($B$4:$B$7,"R")&gt;0,"",IF($H$5="Yes","Y",IF($H$19="Yes","R","Y")))</f>
        <v>Y</v>
      </c>
      <c r="G20" s="9" t="str">
        <f>IF(OR(H19="",H19="No"),"","Will you be filing a Canadian tax return as a Canadian tax resident and reporting the payment from Emory as income?")</f>
        <v/>
      </c>
      <c r="H20" s="28"/>
    </row>
    <row r="21" spans="2:8" x14ac:dyDescent="0.25">
      <c r="B21" s="5" t="str">
        <f>IF(OR(Home!$D$8="",Home!$D$8="Yes"),"",IF(H21="",HLOOKUP(Home!$D$8,FRGN!$D$2:$F$72,ROW(A20),FALSE),IF(C21=FALSE,"C")))</f>
        <v/>
      </c>
      <c r="C21" s="5" t="b">
        <v>1</v>
      </c>
      <c r="D21" s="15" t="str">
        <f>IF(COUNTIF($B$4:$B$7,"R")&gt;0,"",IF($H$5="Yes","Y",IF($H$19="Yes","R","Y")))</f>
        <v>Y</v>
      </c>
      <c r="G21" s="9" t="str">
        <f>IF(OR($H$19="",$H$19="No"),"",IF(Home!D7&lt;&gt;"Company","Canadian Social Insurance Number:","Recipient's Account Number:"))</f>
        <v/>
      </c>
      <c r="H21" s="28"/>
    </row>
    <row r="22" spans="2:8" ht="60.75" customHeight="1" x14ac:dyDescent="0.25">
      <c r="B22" s="5" t="str">
        <f>IF(OR(Home!$D$8="",Home!$D$8="Yes"),"",IF(H22="",HLOOKUP(Home!$D$8,FRGN!$D$2:$F$72,ROW(A21),FALSE),IF(C22=FALSE,"C")))</f>
        <v/>
      </c>
      <c r="C22" s="5" t="b">
        <v>1</v>
      </c>
      <c r="D22" s="15" t="str">
        <f>IF(COUNTIF($B$4:$B$7,"R")&gt;0,"",IF($H$5="Yes","Y","R"))</f>
        <v>R</v>
      </c>
      <c r="G22" s="9" t="s">
        <v>87</v>
      </c>
      <c r="H22" s="28"/>
    </row>
    <row r="23" spans="2:8" ht="45" x14ac:dyDescent="0.25">
      <c r="B23" s="5" t="str">
        <f>IF(OR(Home!$D$8="",Home!$D$8="Yes"),"",IF(H23="",HLOOKUP(Home!$D$8,FRGN!$D$2:$F$72,ROW(A22),FALSE),IF(C23=FALSE,"C")))</f>
        <v/>
      </c>
      <c r="C23" s="5" t="b">
        <v>1</v>
      </c>
      <c r="D23" s="15" t="str">
        <f>IF(COUNTIF($B$4:$B$7,"R")&gt;0,"",IF($H$5="Yes","Y","R"))</f>
        <v>R</v>
      </c>
      <c r="G23" s="9" t="s">
        <v>88</v>
      </c>
      <c r="H23" s="28"/>
    </row>
    <row r="24" spans="2:8" ht="53.25" customHeight="1" x14ac:dyDescent="0.25">
      <c r="B24" s="5" t="str">
        <f>IF(OR(Home!$D$8="",Home!$D$8="Yes"),"",IF(H24="",HLOOKUP(Home!$D$8,FRGN!$D$2:$F$72,ROW(A23),FALSE),IF(C24=FALSE,"C")))</f>
        <v/>
      </c>
      <c r="C24" s="5" t="b">
        <v>1</v>
      </c>
      <c r="D24" s="15" t="str">
        <f>IF(COUNTIF($B$4:$B$7,"R")&gt;0,"",IF($H$5="Yes","Y",IF($H$23="No","R","Y")))</f>
        <v>Y</v>
      </c>
      <c r="G24" s="9" t="str">
        <f>IF(OR($H$23="Yes",$H$23=""),"","Please indicate if any services performed for Emory University were performed entirely outside of the United States, entirely inside of the United States, or partly outside and inside of the United States:")</f>
        <v/>
      </c>
      <c r="H24" s="28"/>
    </row>
    <row r="25" spans="2:8" ht="39" customHeight="1" x14ac:dyDescent="0.25">
      <c r="B25" s="5" t="str">
        <f>IF(OR(Home!$D$8="",Home!$D$8="Yes"),"",IF(H25="",HLOOKUP(Home!$D$8,FRGN!$D$2:$F$72,ROW(A24),FALSE),IF(C25=FALSE,"C")))</f>
        <v/>
      </c>
      <c r="C25" s="5" t="b">
        <v>1</v>
      </c>
      <c r="D25" s="15" t="str">
        <f>IF(COUNTIF($B$4:$B$7,"R")&gt;0,"",IF($H$5="Yes","Y",IF($H$23="No","R","Y")))</f>
        <v>Y</v>
      </c>
      <c r="G25" s="9" t="str">
        <f>IF(OR($H$23="Yes",$H$23=""),"","Please list the countries where services were performed:")</f>
        <v/>
      </c>
      <c r="H25" s="28"/>
    </row>
    <row r="26" spans="2:8" x14ac:dyDescent="0.25">
      <c r="B26" s="5" t="str">
        <f>IF(OR(Home!$D$8="",Home!$D$8="Yes"),"",IF(H26="",HLOOKUP(Home!$D$8,FRGN!$D$2:$F$72,ROW(A25),FALSE),IF(C26=FALSE,"C")))</f>
        <v/>
      </c>
      <c r="C26" s="5" t="b">
        <v>1</v>
      </c>
      <c r="D26" s="15" t="str">
        <f>IF(COUNTIF($B$4:$B$7,"R")&gt;0,"",IF($H$5="Yes","Y",IF($H$23="No","R","Y")))</f>
        <v>Y</v>
      </c>
      <c r="G26" s="9" t="str">
        <f>IF(OR($H$23="Yes",$H$23=""),"","Please indicate the starting date of when the services were performed:")</f>
        <v/>
      </c>
      <c r="H26" s="30"/>
    </row>
    <row r="27" spans="2:8" x14ac:dyDescent="0.25">
      <c r="B27" s="5" t="str">
        <f>IF(OR(Home!$D$8="",Home!$D$8="Yes"),"",IF(H27="",HLOOKUP(Home!$D$8,FRGN!$D$2:$F$72,ROW(A26),FALSE),IF(C27=FALSE,"C")))</f>
        <v/>
      </c>
      <c r="C27" s="5" t="b">
        <v>1</v>
      </c>
      <c r="D27" s="15" t="str">
        <f>IF(COUNTIF($B$4:$B$7,"R")&gt;0,"",IF($H$5="Yes","Y",IF($H$23="No","R","Y")))</f>
        <v>Y</v>
      </c>
      <c r="G27" s="9" t="str">
        <f>IF(OR($H$23="Yes",$H$23=""),"","Please indicate the ending date of when the services were performed:")</f>
        <v/>
      </c>
      <c r="H27" s="30"/>
    </row>
    <row r="28" spans="2:8" ht="23.25" customHeight="1" x14ac:dyDescent="0.25">
      <c r="B28" s="5" t="str">
        <f>IF(OR(Home!$D$8="",Home!$D$8="Yes"),"",IF(H28="",HLOOKUP(Home!$D$8,FRGN!$D$2:$F$72,ROW(A27),FALSE),IF(C28=FALSE,"C")))</f>
        <v/>
      </c>
      <c r="C28" s="5" t="b">
        <v>1</v>
      </c>
      <c r="D28" s="15" t="str">
        <f>IF(COUNTIF($B$4:$B$7,"R")&gt;0,"","Y")</f>
        <v>Y</v>
      </c>
      <c r="G28" s="48" t="s">
        <v>92</v>
      </c>
      <c r="H28" s="58"/>
    </row>
    <row r="29" spans="2:8" x14ac:dyDescent="0.25">
      <c r="B29" s="5" t="str">
        <f>IF(OR(Home!$D$8="",Home!$D$8="Yes"),"",IF(H29="",HLOOKUP(Home!$D$8,FRGN!$D$2:$F$72,ROW(A28),FALSE),IF(C29=FALSE,"C")))</f>
        <v/>
      </c>
      <c r="C29" s="5" t="b">
        <v>1</v>
      </c>
      <c r="D29" s="15" t="str">
        <f>IF(COUNTIF($B$4:$B$7,"R")&gt;0,"",IF($H$5="Yes","Y","R"))</f>
        <v>R</v>
      </c>
      <c r="G29" s="9" t="s">
        <v>16</v>
      </c>
      <c r="H29" s="28"/>
    </row>
    <row r="30" spans="2:8" x14ac:dyDescent="0.25">
      <c r="B30" s="5" t="str">
        <f>IF(OR(Home!$D$8="",Home!$D$8="Yes"),"",IF(H30="",HLOOKUP(Home!$D$8,FRGN!$D$2:$F$72,ROW(A29),FALSE),IF(C30=FALSE,"C")))</f>
        <v/>
      </c>
      <c r="C30" s="5" t="b">
        <v>1</v>
      </c>
      <c r="D30" s="15" t="str">
        <f>IF(COUNTIF($B$4:$B$7,"R")&gt;0,"","Y")</f>
        <v>Y</v>
      </c>
      <c r="G30" s="9" t="s">
        <v>17</v>
      </c>
      <c r="H30" s="28"/>
    </row>
    <row r="31" spans="2:8" x14ac:dyDescent="0.25">
      <c r="B31" s="5" t="str">
        <f>IF(OR(Home!$D$8="",Home!$D$8="Yes"),"",IF(H31="",HLOOKUP(Home!$D$8,FRGN!$D$2:$F$72,ROW(A30),FALSE),IF(C31=FALSE,"C")))</f>
        <v/>
      </c>
      <c r="C31" s="5" t="b">
        <v>1</v>
      </c>
      <c r="D31" s="15" t="str">
        <f>IF(COUNTIF($B$4:$B$7,"R")&gt;0,"","Y")</f>
        <v>Y</v>
      </c>
      <c r="G31" s="9" t="s">
        <v>91</v>
      </c>
      <c r="H31" s="28"/>
    </row>
    <row r="32" spans="2:8" ht="23.25" customHeight="1" x14ac:dyDescent="0.25">
      <c r="B32" s="5" t="str">
        <f>IF(OR(Home!$D$8="",Home!$D$8="Yes"),"",IF(H32="",HLOOKUP(Home!$D$8,FRGN!$D$2:$F$72,ROW(A31),FALSE),IF(C32=FALSE,"C")))</f>
        <v/>
      </c>
      <c r="C32" s="5" t="b">
        <v>1</v>
      </c>
      <c r="D32" s="15" t="str">
        <f>IF(COUNTIF($B$4:$B$7,"R")&gt;0,"","Y")</f>
        <v>Y</v>
      </c>
      <c r="G32" s="48" t="s">
        <v>81</v>
      </c>
      <c r="H32" s="58"/>
    </row>
    <row r="33" spans="2:8" x14ac:dyDescent="0.25">
      <c r="B33" s="5" t="str">
        <f>IF(OR(Home!$D$8="",Home!$D$8="Yes"),"",IF(H33="",HLOOKUP(Home!$D$8,FRGN!$D$2:$F$72,ROW(A32),FALSE),IF(C33=FALSE,"C")))</f>
        <v/>
      </c>
      <c r="C33" s="5" t="b">
        <v>1</v>
      </c>
      <c r="D33" s="15" t="str">
        <f>IF(COUNTIF($B$4:$B$7,"R")&gt;0,"",IF(OR($H$5="Yes",$H$15="",Home!D7&lt;&gt;"Company"),"Y","R"))</f>
        <v>Y</v>
      </c>
      <c r="G33" s="9" t="str">
        <f>IF(Home!D7="Company","Method to Receive Orders:","")</f>
        <v/>
      </c>
      <c r="H33" s="28"/>
    </row>
    <row r="34" spans="2:8" x14ac:dyDescent="0.25">
      <c r="B34" s="5" t="str">
        <f>IF(OR(Home!$D$8="",Home!$D$8="Yes"),"",IF(H34="",HLOOKUP(Home!$D$8,FRGN!$D$2:$F$72,ROW(A33),FALSE),IF(C34=FALSE,"C")))</f>
        <v/>
      </c>
      <c r="C34" s="5" t="b">
        <f>IF(H34="",TRUE,ISNUMBER(FIND("@",H34,1)+FIND(".",H34,1)))</f>
        <v>1</v>
      </c>
      <c r="D34" s="15" t="str">
        <f>IF(COUNTIF($B$4:$B$7,"R")&gt;0,"",IF(OR($H$5="Yes",$H$33="",$H$33="Fax"),"Y","R"))</f>
        <v>Y</v>
      </c>
      <c r="G34" s="9" t="str">
        <f>IF(Home!D7="Company","Email for Receiving Orders:","")</f>
        <v/>
      </c>
      <c r="H34" s="28"/>
    </row>
    <row r="35" spans="2:8" x14ac:dyDescent="0.25">
      <c r="B35" s="5" t="str">
        <f>IF(OR(Home!$D$8="",Home!$D$8="Yes"),"",IF(H35="",HLOOKUP(Home!$D$8,FRGN!$D$2:$F$72,ROW(A34),FALSE),IF(C35=FALSE,"C")))</f>
        <v/>
      </c>
      <c r="C35" s="5" t="b">
        <v>1</v>
      </c>
      <c r="D35" s="15" t="str">
        <f>IF(COUNTIF($B$4:$B$7,"R")&gt;0,"",IF(OR($H$5="Yes",$H$15="",$H$15="Foreign Individual or Study Participant"),"Y","R"))</f>
        <v>Y</v>
      </c>
      <c r="G35" s="9" t="str">
        <f>IF(Home!D7="Company","Address Line 1:","")</f>
        <v/>
      </c>
      <c r="H35" s="28"/>
    </row>
    <row r="36" spans="2:8" x14ac:dyDescent="0.25">
      <c r="B36" s="5" t="str">
        <f>IF(OR(Home!$D$8="",Home!$D$8="Yes"),"",IF(H36="",HLOOKUP(Home!$D$8,FRGN!$D$2:$F$72,ROW(A35),FALSE),IF(C36=FALSE,"C")))</f>
        <v/>
      </c>
      <c r="C36" s="5" t="b">
        <v>1</v>
      </c>
      <c r="D36" s="15" t="str">
        <f>IF(COUNTIF($B$4:$B$7,"R")&gt;0,"","Y")</f>
        <v>Y</v>
      </c>
      <c r="G36" s="9" t="str">
        <f>IF(Home!D7="Company","Address Line 2:","")</f>
        <v/>
      </c>
      <c r="H36" s="28"/>
    </row>
    <row r="37" spans="2:8" x14ac:dyDescent="0.25">
      <c r="B37" s="5" t="str">
        <f>IF(OR(Home!$D$8="",Home!$D$8="Yes"),"",IF(H37="",HLOOKUP(Home!$D$8,FRGN!$D$2:$F$72,ROW(A36),FALSE),IF(C37=FALSE,"C")))</f>
        <v/>
      </c>
      <c r="C37" s="5" t="b">
        <v>1</v>
      </c>
      <c r="D37" s="15" t="str">
        <f>IF(COUNTIF($B$4:$B$7,"R")&gt;0,"","Y")</f>
        <v>Y</v>
      </c>
      <c r="G37" s="9" t="str">
        <f>IF(Home!D7="Company","Address Line 3:","")</f>
        <v/>
      </c>
      <c r="H37" s="28"/>
    </row>
    <row r="38" spans="2:8" ht="23.25" customHeight="1" x14ac:dyDescent="0.25">
      <c r="B38" s="5" t="str">
        <f>IF(OR(Home!$D$8="",Home!$D$8="Yes"),"",IF(H38="",HLOOKUP(Home!$D$8,FRGN!$D$2:$F$72,ROW(A37),FALSE),IF(C38=FALSE,"C")))</f>
        <v/>
      </c>
      <c r="C38" s="5" t="b">
        <v>1</v>
      </c>
      <c r="D38" s="15" t="str">
        <f>IF(COUNTIF($B$4:$B$7,"R")&gt;0,"","Y")</f>
        <v>Y</v>
      </c>
      <c r="G38" s="48" t="s">
        <v>12</v>
      </c>
      <c r="H38" s="58"/>
    </row>
    <row r="39" spans="2:8" ht="45" x14ac:dyDescent="0.25">
      <c r="B39" s="5" t="str">
        <f>IF(OR(Home!$D$8="",Home!$D$8="Yes"),"",IF(H39="",HLOOKUP(Home!$D$8,FRGN!$D$2:$F$72,ROW(A38),FALSE),IF(C39=FALSE,"C")))</f>
        <v/>
      </c>
      <c r="C39" s="5" t="b">
        <v>1</v>
      </c>
      <c r="D39" s="15" t="str">
        <f>IF(COUNTIF($B$4:$B$7,"R")&gt;0,"",IF($H$5="Yes","Y","R"))</f>
        <v>R</v>
      </c>
      <c r="G39" s="9" t="s">
        <v>90</v>
      </c>
      <c r="H39" s="28"/>
    </row>
    <row r="40" spans="2:8" x14ac:dyDescent="0.25">
      <c r="B40" s="5" t="str">
        <f>IF(OR(Home!$D$8="",Home!$D$8="Yes"),"",IF(H40="",HLOOKUP(Home!$D$8,FRGN!$D$2:$F$72,ROW(A39),FALSE),IF(C40=FALSE,"C")))</f>
        <v/>
      </c>
      <c r="C40" s="5" t="b">
        <v>1</v>
      </c>
      <c r="D40" s="15" t="str">
        <f>IF(COUNTIF($B$4:$B$7,"R")&gt;0,"",IF(OR($H$5="Yes",Home!D7&lt;&gt;"Company"),"Y","R"))</f>
        <v>Y</v>
      </c>
      <c r="E40" s="13"/>
      <c r="F40" s="15"/>
      <c r="G40" s="9" t="str">
        <f>IF(Home!D7="Company",CONCATENATE("Emory highly encourages that your company be registered with The System for Award Management (SAM) because not doing so can preclude you as a supplier for contracts that Emory has with the U.S. government."," For additional information and to register, please visit https://www.sam.gov/"),"")</f>
        <v/>
      </c>
      <c r="H40" s="25"/>
    </row>
    <row r="41" spans="2:8" ht="125.25" customHeight="1" x14ac:dyDescent="0.25">
      <c r="B41" s="5" t="str">
        <f>IF(OR(Home!$D$8="",Home!$D$8="Yes"),"",IF(H41="",HLOOKUP(Home!$D$8,FRGN!$D$2:$F$72,ROW(A40),FALSE),IF(C41=FALSE,"C")))</f>
        <v/>
      </c>
      <c r="C41" s="5" t="b">
        <v>1</v>
      </c>
      <c r="D41" s="15" t="str">
        <f>IF(COUNTIF($B$4:$B$7,"R")&gt;0,"",IF($H$5="Yes","Y","R"))</f>
        <v>R</v>
      </c>
      <c r="G41" s="9"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41" s="33"/>
    </row>
    <row r="42" spans="2:8" ht="19.5" customHeight="1" x14ac:dyDescent="0.25">
      <c r="B42" s="5" t="str">
        <f>IF(OR(Home!$D$8="",Home!$D$8="Yes"),"",IF(H42="",HLOOKUP(Home!$D$8,FRGN!$D$2:$F$72,ROW(A41),FALSE),IF(C42=FALSE,"C")))</f>
        <v/>
      </c>
      <c r="C42" s="5" t="b">
        <v>1</v>
      </c>
      <c r="D42" s="15" t="str">
        <f>IF(COUNTIF($B$4:$B$7,"R")&gt;0,"",IF($H$5="Yes","Y","R"))</f>
        <v>R</v>
      </c>
      <c r="G42" s="9" t="s">
        <v>101</v>
      </c>
      <c r="H42" s="30"/>
    </row>
    <row r="43" spans="2:8" ht="18.75" x14ac:dyDescent="0.25">
      <c r="B43" s="5" t="str">
        <f>IF(OR(Home!$D$8="",Home!$D$8="Yes"),"",IF(H43="",HLOOKUP(Home!$D$8,FRGN!$D$2:$F$72,ROW(A42),FALSE),IF(C43=FALSE,"C")))</f>
        <v/>
      </c>
      <c r="C43" s="5" t="b">
        <v>1</v>
      </c>
      <c r="D43" s="15" t="str">
        <f>IF(COUNTIF($B$4:$B$7,"R")&gt;0,"","Y")</f>
        <v>Y</v>
      </c>
      <c r="E43" s="15"/>
      <c r="F43" s="15"/>
      <c r="G43" s="48"/>
      <c r="H43" s="58"/>
    </row>
    <row r="44" spans="2:8" ht="26.25" x14ac:dyDescent="0.25">
      <c r="B44" s="5" t="str">
        <f>IF(OR(Home!$D$8="",Home!$D$8="Yes"),"",IF(H44="",HLOOKUP(Home!$D$8,FRGN!$D$2:$F$72,ROW(A43),FALSE),IF(C44=FALSE,"C")))</f>
        <v/>
      </c>
      <c r="C44" s="1" t="b">
        <v>1</v>
      </c>
      <c r="D44" s="15" t="str">
        <f>IF(COUNTIF($B$4:$B$7,"R")&gt;0,"",IF(OR($H$5="Yes",COUNTIF($B$4:$B$7,"R")=0),"Y",""))</f>
        <v>Y</v>
      </c>
      <c r="E44" s="16"/>
      <c r="F44" s="14"/>
      <c r="G44" s="51" t="s">
        <v>109</v>
      </c>
      <c r="H44" s="51"/>
    </row>
    <row r="45" spans="2:8" x14ac:dyDescent="0.25">
      <c r="B45" s="5" t="str">
        <f>IF(OR(Home!$D$8="",Home!$D$8="Yes"),"",IF(H45="",HLOOKUP(Home!$D$8,FRGN!$D$2:$F$72,ROW(A44),FALSE),IF(C45=FALSE,"C")))</f>
        <v/>
      </c>
      <c r="C45" s="1" t="b">
        <v>1</v>
      </c>
      <c r="D45" s="15" t="str">
        <f>IF(COUNTIF($B$4:$B$7,"R")&gt;0,"",IF(OR($H$5="Yes",COUNTIF($B$4:$B$7,"R")=0),"Y",""))</f>
        <v>Y</v>
      </c>
      <c r="E45" s="16"/>
      <c r="F45" s="14"/>
      <c r="G45" s="52" t="str">
        <f>Home!D7&amp;" Information"</f>
        <v xml:space="preserve"> Information</v>
      </c>
      <c r="H45" s="53"/>
    </row>
    <row r="46" spans="2:8" x14ac:dyDescent="0.25">
      <c r="B46" s="5" t="str">
        <f>IF(OR(Home!$D$8="",Home!$D$8="Yes"),"",IF(H46="",HLOOKUP(Home!$D$8,FRGN!$D$2:$F$72,ROW(A45),FALSE),IF(C46=FALSE,"C")))</f>
        <v/>
      </c>
      <c r="C46" s="1" t="b">
        <v>1</v>
      </c>
      <c r="D46" s="15" t="str">
        <f>IF(COUNTIF($B$4:$B$7,"R")&gt;0,"",IF(OR($H$5="Yes",COUNTIF($B$4:$B$7,"R")=0),"R",""))</f>
        <v>R</v>
      </c>
      <c r="E46" s="16"/>
      <c r="F46" s="14"/>
      <c r="G46" s="9" t="str">
        <f>Home!$D$7&amp;" Name:"</f>
        <v xml:space="preserve"> Name:</v>
      </c>
      <c r="H46" s="25"/>
    </row>
    <row r="47" spans="2:8" x14ac:dyDescent="0.25">
      <c r="B47" s="5" t="str">
        <f>IF(OR(Home!$D$8="",Home!$D$8="Yes"),"",IF(H47="",HLOOKUP(Home!$D$8,FRGN!$D$2:$F$72,ROW(A46),FALSE),IF(C47=FALSE,"C")))</f>
        <v/>
      </c>
      <c r="C47" s="1" t="b">
        <v>1</v>
      </c>
      <c r="D47" s="15" t="str">
        <f t="shared" ref="D47:D51" si="1">IF(COUNTIF($B$4:$B$7,"R")&gt;0,"",IF(OR($H$5="Yes",COUNTIF($B$4:$B$7,"R")=0),"R",""))</f>
        <v>R</v>
      </c>
      <c r="E47" s="14"/>
      <c r="F47" s="14"/>
      <c r="G47" s="9" t="s">
        <v>108</v>
      </c>
      <c r="H47" s="25"/>
    </row>
    <row r="48" spans="2:8" x14ac:dyDescent="0.25">
      <c r="B48" s="5" t="str">
        <f>IF(OR(Home!$D$8="",Home!$D$8="Yes"),"",IF(H48="",HLOOKUP(Home!$D$8,FRGN!$D$2:$F$72,ROW(A47),FALSE),IF(C48=FALSE,"C")))</f>
        <v/>
      </c>
      <c r="C48" s="1" t="b">
        <v>1</v>
      </c>
      <c r="D48" s="15" t="str">
        <f t="shared" si="1"/>
        <v>R</v>
      </c>
      <c r="E48" s="13"/>
      <c r="F48" s="13"/>
      <c r="G48" s="9" t="s">
        <v>107</v>
      </c>
      <c r="H48" s="25"/>
    </row>
    <row r="49" spans="2:8" x14ac:dyDescent="0.25">
      <c r="B49" s="5" t="str">
        <f>IF(OR(Home!$D$8="",Home!$D$8="Yes"),"",IF(H49="",HLOOKUP(Home!$D$8,FRGN!$D$2:$F$72,ROW(A48),FALSE),IF(C49=FALSE,"C")))</f>
        <v/>
      </c>
      <c r="C49" s="5" t="b">
        <v>1</v>
      </c>
      <c r="D49" s="15" t="str">
        <f t="shared" si="1"/>
        <v>R</v>
      </c>
      <c r="E49" s="16"/>
      <c r="F49" s="14"/>
      <c r="G49" s="9" t="s">
        <v>436</v>
      </c>
      <c r="H49" s="25"/>
    </row>
    <row r="50" spans="2:8" x14ac:dyDescent="0.25">
      <c r="B50" s="5" t="str">
        <f>IF(OR(Home!$D$8="",Home!$D$8="Yes"),"",IF(H50="",HLOOKUP(Home!$D$8,FRGN!$D$2:$F$72,ROW(A49),FALSE),IF(C50=FALSE,"C")))</f>
        <v/>
      </c>
      <c r="C50" s="5" t="b">
        <f>ISNUMBER(H50+0)</f>
        <v>1</v>
      </c>
      <c r="D50" s="15" t="str">
        <f t="shared" si="1"/>
        <v>R</v>
      </c>
      <c r="E50" s="16"/>
      <c r="F50" s="14"/>
      <c r="G50" s="9" t="s">
        <v>111</v>
      </c>
      <c r="H50" s="28"/>
    </row>
    <row r="51" spans="2:8" x14ac:dyDescent="0.25">
      <c r="B51" s="5" t="str">
        <f>IF(OR(Home!$D$8="",Home!$D$8="Yes"),"",IF(H51="",HLOOKUP(Home!$D$8,FRGN!$D$2:$F$72,ROW(A50),FALSE),IF(C51=FALSE,"C")))</f>
        <v/>
      </c>
      <c r="C51" s="5" t="b">
        <f>IF(H51="",TRUE,ISNUMBER(FIND("@",H51,1)+FIND(".",H51,1)))</f>
        <v>1</v>
      </c>
      <c r="D51" s="15" t="str">
        <f t="shared" si="1"/>
        <v>R</v>
      </c>
      <c r="E51" s="16"/>
      <c r="F51" s="14"/>
      <c r="G51" s="9" t="s">
        <v>112</v>
      </c>
      <c r="H51" s="26"/>
    </row>
    <row r="52" spans="2:8" x14ac:dyDescent="0.25">
      <c r="B52" s="5" t="str">
        <f>IF(OR(Home!$D$8="",Home!$D$8="Yes"),"",IF(H52="",HLOOKUP(Home!$D$8,FRGN!$D$2:$F$72,ROW(A51),FALSE),IF(C52=FALSE,"C")))</f>
        <v/>
      </c>
      <c r="C52" s="1" t="b">
        <v>1</v>
      </c>
      <c r="D52" s="15" t="str">
        <f>IF(COUNTIF($B$4:$B$7,"R")&gt;0,"",IF(OR($H$5="Yes",COUNTIF($B$4:$B$7,"R")=0),"Y",""))</f>
        <v>Y</v>
      </c>
      <c r="E52" s="16"/>
      <c r="F52" s="14"/>
      <c r="G52" s="52" t="s">
        <v>24</v>
      </c>
      <c r="H52" s="53"/>
    </row>
    <row r="53" spans="2:8" x14ac:dyDescent="0.25">
      <c r="B53" s="5" t="str">
        <f>IF(OR(Home!$D$8="",Home!$D$8="Yes"),"",IF(H53="",HLOOKUP(Home!$D$8,FRGN!$D$2:$F$72,ROW(A52),FALSE),IF(C53=FALSE,"C")))</f>
        <v/>
      </c>
      <c r="C53" s="5" t="b">
        <v>1</v>
      </c>
      <c r="D53" s="15" t="str">
        <f>IF(COUNTIF($B$4:$B$7,"R")&gt;0,"",IF(OR($H$5="Yes",COUNTIF($B$4:$B$7,"R")=0),"R",""))</f>
        <v>R</v>
      </c>
      <c r="E53" s="16"/>
      <c r="F53" s="14"/>
      <c r="G53" s="9" t="s">
        <v>102</v>
      </c>
      <c r="H53" s="25"/>
    </row>
    <row r="54" spans="2:8" x14ac:dyDescent="0.25">
      <c r="B54" s="5" t="str">
        <f>IF(OR(Home!$D$8="",Home!$D$8="Yes"),"",IF(H54="",HLOOKUP(Home!$D$8,FRGN!$D$2:$F$72,ROW(A53),FALSE),IF(C54=FALSE,"C")))</f>
        <v/>
      </c>
      <c r="C54" s="5" t="b">
        <v>1</v>
      </c>
      <c r="D54" s="15" t="str">
        <f>IF(COUNTIF($B$4:$B$7,"R")&gt;0,"",IF(OR($H$5="Yes",COUNTIF($B$4:$B$7,"R")=0),"R",""))</f>
        <v>R</v>
      </c>
      <c r="E54" s="16"/>
      <c r="F54" s="14"/>
      <c r="G54" s="9" t="s">
        <v>105</v>
      </c>
      <c r="H54" s="25"/>
    </row>
    <row r="55" spans="2:8" x14ac:dyDescent="0.25">
      <c r="B55" s="5" t="str">
        <f>IF(OR(Home!$D$8="",Home!$D$8="Yes"),"",IF(H55="",HLOOKUP(Home!$D$8,FRGN!$D$2:$F$72,ROW(A54),FALSE),IF(C55=FALSE,"C")))</f>
        <v/>
      </c>
      <c r="C55" s="5" t="b">
        <v>1</v>
      </c>
      <c r="D55" s="15" t="str">
        <f>IF(COUNTIF($B$4:$B$7,"R")&gt;0,"",IF(OR($H$5="Yes",COUNTIF($B$4:$B$7,"R")=0),"R",""))</f>
        <v>R</v>
      </c>
      <c r="E55" s="16"/>
      <c r="F55" s="14"/>
      <c r="G55" s="9" t="s">
        <v>435</v>
      </c>
      <c r="H55" s="25"/>
    </row>
    <row r="56" spans="2:8" x14ac:dyDescent="0.25">
      <c r="B56" s="5" t="str">
        <f>IF(OR(Home!$D$8="",Home!$D$8="Yes"),"",IF(H56="",HLOOKUP(Home!$D$8,FRGN!$D$2:$F$72,ROW(A55),FALSE),IF(C56=FALSE,"C")))</f>
        <v/>
      </c>
      <c r="C56" s="5" t="b">
        <f>ISNUMBER(H56+0)</f>
        <v>1</v>
      </c>
      <c r="D56" s="13" t="str">
        <f>IF(COUNTIF($B$4:$B$7,"R")&gt;0,"",IF($H$55="","Y",IF(VLOOKUP($H$55,'Drop Down'!$F$2:$G$249,2,FALSE)="Y","R","Y")))</f>
        <v>Y</v>
      </c>
      <c r="E56" s="16"/>
      <c r="F56" s="14"/>
      <c r="G56" s="9" t="s">
        <v>103</v>
      </c>
      <c r="H56" s="25"/>
    </row>
    <row r="57" spans="2:8" x14ac:dyDescent="0.25">
      <c r="B57" s="5" t="str">
        <f>IF(OR(Home!$D$8="",Home!$D$8="Yes"),"",IF(H57="",HLOOKUP(Home!$D$8,FRGN!$D$2:$F$72,ROW(A56),FALSE),IF(C57=FALSE,"C")))</f>
        <v/>
      </c>
      <c r="C57" s="5" t="b">
        <v>1</v>
      </c>
      <c r="D57" s="13" t="str">
        <f>IF(COUNTIF($B$4:$B$7,"R")&gt;0,"",IF($H$55="","Y",IF(AND(VLOOKUP($H$55,'Drop Down'!$F$2:$G$249,2,FALSE)&lt;&gt;"Y",H55&lt;&gt;""),"R","Y")))</f>
        <v>Y</v>
      </c>
      <c r="E57" s="16"/>
      <c r="F57" s="14"/>
      <c r="G57" s="9" t="s">
        <v>104</v>
      </c>
      <c r="H57" s="25"/>
    </row>
    <row r="58" spans="2:8" x14ac:dyDescent="0.25">
      <c r="B58" s="5" t="str">
        <f>IF(OR(Home!$D$8="",Home!$D$8="Yes"),"",IF(H58="",HLOOKUP(Home!$D$8,FRGN!$D$2:$F$72,ROW(A57),FALSE),IF(C58=FALSE,"C")))</f>
        <v/>
      </c>
      <c r="C58" s="5" t="b">
        <v>1</v>
      </c>
      <c r="D58" s="15" t="str">
        <f>IF(COUNTIF($B$4:$B$7,"R")&gt;0,"",IF(OR($H$5="Yes",COUNTIF($B$4:$B$7,"R")=0),"R",""))</f>
        <v>R</v>
      </c>
      <c r="E58" s="16"/>
      <c r="F58" s="14"/>
      <c r="G58" s="9" t="s">
        <v>106</v>
      </c>
      <c r="H58" s="25"/>
    </row>
    <row r="59" spans="2:8" ht="49.5" customHeight="1" x14ac:dyDescent="0.25">
      <c r="B59" s="5" t="str">
        <f>IF(OR(Home!$D$8="",Home!$D$8="Yes"),"",IF(H59="",HLOOKUP(Home!$D$8,FRGN!$D$2:$F$72,ROW(A58),FALSE),IF(C59=FALSE,"C")))</f>
        <v/>
      </c>
      <c r="C59" s="5" t="b">
        <f>IF(ISERROR(VLOOKUP(H55,'Drop Down'!$I$3:$K$83,2,FALSE)),TRUE,VLOOKUP(H55,'Drop Down'!$I$3:$K$83,2,FALSE)=LEN(H59))</f>
        <v>1</v>
      </c>
      <c r="D59" s="15" t="str">
        <f>IF(COUNTIF($B$4:$B$7,"R")&gt;0,"",IF(OR($H$5="Yes",COUNTIF($B$4:$B$7,"R")=0),"R",""))</f>
        <v>R</v>
      </c>
      <c r="E59" s="16"/>
      <c r="F59" s="14"/>
      <c r="G59" s="9" t="str">
        <f>IF(ISERROR(VLOOKUP(H55,'Drop Down'!$I$3:$K$83,1,FALSE)),"Bank Account Number:","International Bank Account Number (IBAN):"&amp;CHAR(10)&amp;VLOOKUP(H55,'Drop Down'!$I$3:$L$83,4,FALSE))</f>
        <v>Bank Account Number:</v>
      </c>
      <c r="H59" s="25"/>
    </row>
    <row r="60" spans="2:8" ht="30" x14ac:dyDescent="0.25">
      <c r="B60" s="5" t="str">
        <f>IF(OR(Home!$D$8="",Home!$D$8="Yes"),"",IF(H60="",HLOOKUP(Home!$D$8,FRGN!$D$2:$F$72,ROW(A59),FALSE),IF(C60=FALSE,"C")))</f>
        <v/>
      </c>
      <c r="C60" s="5" t="b">
        <f>IF(ISERROR(VLOOKUP(H56,'Drop Down'!$I$3:$K$83,2,FALSE)),TRUE,VLOOKUP(H56,'Drop Down'!$I$3:$K$83,2,FALSE)=LEN(H60))</f>
        <v>1</v>
      </c>
      <c r="D60" s="15" t="str">
        <f>IF(COUNTIF($B$4:$B$7,"R")&gt;0,"",IF(OR($H$5="Yes",COUNTIF($B$4:$B$7,"R")=0),"R",""))</f>
        <v>R</v>
      </c>
      <c r="E60" s="16"/>
      <c r="F60" s="14"/>
      <c r="G60" s="9" t="s">
        <v>1060</v>
      </c>
      <c r="H60" s="25"/>
    </row>
    <row r="61" spans="2:8" ht="65.25" customHeight="1" x14ac:dyDescent="0.25">
      <c r="B61" s="5" t="str">
        <f>IF(OR(Home!$D$8="",Home!$D$8="Yes"),"",IF(H61="",HLOOKUP(Home!$D$8,FRGN!$D$2:$F$72,ROW(A60),FALSE),IF(C61=FALSE,"C")))</f>
        <v/>
      </c>
      <c r="C61" s="5" t="b">
        <v>1</v>
      </c>
      <c r="D61" s="13" t="str">
        <f>IF(COUNTIF($B$4:$B$7,"R")&gt;0,"",IF(ISERROR(VLOOKUP(H55,'Drop Down'!$N$2:$P$16,3,FALSE)),"Y","R"))</f>
        <v>Y</v>
      </c>
      <c r="E61" s="16"/>
      <c r="F61" s="14"/>
      <c r="G61" s="9" t="str">
        <f>"Additional Information Required:"&amp;CHAR(10)&amp;IFERROR(VLOOKUP(H55,'Drop Down'!$N$2:$P$16,3,FALSE),"")</f>
        <v xml:space="preserve">Additional Information Required:
</v>
      </c>
      <c r="H61" s="25"/>
    </row>
    <row r="62" spans="2:8" x14ac:dyDescent="0.25">
      <c r="B62" s="5" t="str">
        <f>IF(OR(Home!$D$8="",Home!$D$8="Yes"),"",IF(H62="",HLOOKUP(Home!$D$8,FRGN!$D$2:$F$72,ROW(A61),FALSE),IF(C62=FALSE,"C")))</f>
        <v/>
      </c>
      <c r="C62" s="1" t="b">
        <v>1</v>
      </c>
      <c r="D62" s="15" t="str">
        <f>IF(COUNTIF($B$4:$B$7,"R")&gt;0,"",IF(OR($H$5="Yes",COUNTIF($B$4:$B$7,"R")=0),"Y",""))</f>
        <v>Y</v>
      </c>
      <c r="E62" s="16"/>
      <c r="F62" s="14"/>
      <c r="G62" s="52" t="s">
        <v>1042</v>
      </c>
      <c r="H62" s="53"/>
    </row>
    <row r="63" spans="2:8" ht="30" x14ac:dyDescent="0.25">
      <c r="B63" s="5" t="str">
        <f>IF(OR(Home!$D$8="",Home!$D$8="Yes"),"",IF(H63="",HLOOKUP(Home!$D$8,FRGN!$D$2:$F$72,ROW(A62),FALSE),IF(C63=FALSE,"C")))</f>
        <v/>
      </c>
      <c r="C63" s="5" t="b">
        <v>1</v>
      </c>
      <c r="D63" s="15" t="str">
        <f>IF(COUNTIF($B$4:$B$7,"R")&gt;0,"",IF(OR($H$5="Yes",COUNTIF($B$4:$B$7,"R")=0),"R",""))</f>
        <v>R</v>
      </c>
      <c r="G63" s="9" t="s">
        <v>552</v>
      </c>
      <c r="H63" s="28"/>
    </row>
    <row r="64" spans="2:8" x14ac:dyDescent="0.25">
      <c r="B64" s="5" t="str">
        <f>IF(OR(Home!$D$8="",Home!$D$8="Yes"),"",IF(H64="",HLOOKUP(Home!$D$8,FRGN!$D$2:$F$72,ROW(A63),FALSE),IF(C64=FALSE,"C")))</f>
        <v/>
      </c>
      <c r="C64" s="1" t="b">
        <v>1</v>
      </c>
      <c r="D64" s="13" t="str">
        <f>IF(COUNTIF($B$4:$B$7,"R")&gt;0,"",IF(H63="Yes","R","Y"))</f>
        <v>Y</v>
      </c>
      <c r="E64" s="16"/>
      <c r="F64" s="14"/>
      <c r="G64" s="9" t="s">
        <v>102</v>
      </c>
      <c r="H64" s="25"/>
    </row>
    <row r="65" spans="2:8" x14ac:dyDescent="0.25">
      <c r="B65" s="5" t="str">
        <f>IF(OR(Home!$D$8="",Home!$D$8="Yes"),"",IF(H65="",HLOOKUP(Home!$D$8,FRGN!$D$2:$F$72,ROW(A64),FALSE),IF(C65=FALSE,"C")))</f>
        <v/>
      </c>
      <c r="C65" s="5" t="b">
        <f>ISNUMBER(H65+0)</f>
        <v>1</v>
      </c>
      <c r="D65" s="15" t="str">
        <f t="shared" ref="D65:D69" si="2">IF(COUNTIF($B$4:$B$7,"R")&gt;0,"",IF(OR($H$5="Yes",COUNTIF($B$4:$B$7,"R")=0),"Y",""))</f>
        <v>Y</v>
      </c>
      <c r="E65" s="16"/>
      <c r="F65" s="14"/>
      <c r="G65" s="9" t="s">
        <v>103</v>
      </c>
      <c r="H65" s="25"/>
    </row>
    <row r="66" spans="2:8" x14ac:dyDescent="0.25">
      <c r="B66" s="5" t="str">
        <f>IF(OR(Home!$D$8="",Home!$D$8="Yes"),"",IF(H66="",HLOOKUP(Home!$D$8,FRGN!$D$2:$F$72,ROW(A65),FALSE),IF(C66=FALSE,"C")))</f>
        <v/>
      </c>
      <c r="C66" s="5" t="b">
        <v>1</v>
      </c>
      <c r="D66" s="15" t="str">
        <f t="shared" si="2"/>
        <v>Y</v>
      </c>
      <c r="E66" s="16"/>
      <c r="F66" s="14"/>
      <c r="G66" s="9" t="s">
        <v>104</v>
      </c>
      <c r="H66" s="25"/>
    </row>
    <row r="67" spans="2:8" x14ac:dyDescent="0.25">
      <c r="B67" s="5" t="str">
        <f>IF(OR(Home!$D$8="",Home!$D$8="Yes"),"",IF(H67="",HLOOKUP(Home!$D$8,FRGN!$D$2:$F$72,ROW(A66),FALSE),IF(C67=FALSE,"C")))</f>
        <v/>
      </c>
      <c r="C67" s="5" t="b">
        <f>ISNUMBER(H67+0)</f>
        <v>1</v>
      </c>
      <c r="D67" s="15" t="str">
        <f t="shared" si="2"/>
        <v>Y</v>
      </c>
      <c r="E67" s="16"/>
      <c r="F67" s="14"/>
      <c r="G67" s="9" t="s">
        <v>1043</v>
      </c>
      <c r="H67" s="25"/>
    </row>
    <row r="68" spans="2:8" x14ac:dyDescent="0.25">
      <c r="B68" s="5" t="str">
        <f>IF(OR(Home!$D$8="",Home!$D$8="Yes"),"",IF(H68="",HLOOKUP(Home!$D$8,FRGN!$D$2:$F$72,ROW(A67),FALSE),IF(C68=FALSE,"C")))</f>
        <v/>
      </c>
      <c r="C68" s="1" t="b">
        <v>1</v>
      </c>
      <c r="D68" s="15" t="str">
        <f t="shared" si="2"/>
        <v>Y</v>
      </c>
      <c r="E68" s="16"/>
      <c r="F68" s="14"/>
      <c r="G68" s="52" t="str">
        <f>Home!D7&amp;" Authorization for Payment"</f>
        <v xml:space="preserve"> Authorization for Payment</v>
      </c>
      <c r="H68" s="53"/>
    </row>
    <row r="69" spans="2:8" x14ac:dyDescent="0.25">
      <c r="B69" s="5" t="str">
        <f>IF(OR(Home!$D$8="",Home!$D$8="Yes"),"",IF(H69="",HLOOKUP(Home!$D$8,FRGN!$D$2:$F$72,ROW(A68),FALSE),IF(C69=FALSE,"C")))</f>
        <v/>
      </c>
      <c r="C69" s="1" t="b">
        <v>1</v>
      </c>
      <c r="D69" s="15" t="str">
        <f t="shared" si="2"/>
        <v>Y</v>
      </c>
      <c r="E69" s="16"/>
      <c r="F69" s="14"/>
      <c r="G69" s="49" t="s">
        <v>94</v>
      </c>
      <c r="H69" s="50"/>
    </row>
    <row r="70" spans="2:8" ht="125.25" customHeight="1" x14ac:dyDescent="0.25">
      <c r="B70" s="5" t="str">
        <f>IF(OR(Home!$D$8="",Home!$D$8="Yes"),"",IF(H70="",HLOOKUP(Home!$D$8,FRGN!$D$2:$F$72,ROW(A69),FALSE),IF(C70=FALSE,"C")))</f>
        <v/>
      </c>
      <c r="C70" s="1" t="b">
        <v>1</v>
      </c>
      <c r="D70" s="15" t="str">
        <f>IF(COUNTIF($B$4:$B$7,"R")&gt;0,"",IF(OR($H$5="Yes",COUNTIF($B$4:$B$7,"R")=0),"R",""))</f>
        <v>R</v>
      </c>
      <c r="E70" s="16"/>
      <c r="F70" s="14"/>
      <c r="G70" s="9"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0" s="32"/>
    </row>
    <row r="71" spans="2:8" x14ac:dyDescent="0.25">
      <c r="B71" s="5" t="str">
        <f>IF(OR(Home!$D$8="",Home!$D$8="Yes"),"",IF(H71="",HLOOKUP(Home!$D$8,FRGN!$D$2:$F$72,ROW(A70),FALSE),IF(C71=FALSE,"C")))</f>
        <v/>
      </c>
      <c r="C71" s="1" t="b">
        <v>1</v>
      </c>
      <c r="D71" s="15" t="str">
        <f t="shared" ref="D71:D72" si="3">IF(COUNTIF($B$4:$B$7,"R")&gt;0,"",IF(OR($H$5="Yes",COUNTIF($B$4:$B$7,"R")=0),"R",""))</f>
        <v>R</v>
      </c>
      <c r="E71" s="14"/>
      <c r="F71" s="14"/>
      <c r="G71" s="9" t="s">
        <v>100</v>
      </c>
      <c r="H71" s="25"/>
    </row>
    <row r="72" spans="2:8" x14ac:dyDescent="0.25">
      <c r="B72" s="5" t="str">
        <f>IF(OR(Home!$D$8="",Home!$D$8="Yes"),"",IF(H72="",HLOOKUP(Home!$D$8,FRGN!$D$2:$F$72,ROW(A71),FALSE),IF(C72=FALSE,"C")))</f>
        <v/>
      </c>
      <c r="C72" s="1" t="b">
        <v>1</v>
      </c>
      <c r="D72" s="15" t="str">
        <f t="shared" si="3"/>
        <v>R</v>
      </c>
      <c r="E72" s="16"/>
      <c r="F72" s="14"/>
      <c r="G72" s="9" t="s">
        <v>101</v>
      </c>
      <c r="H72" s="27"/>
    </row>
  </sheetData>
  <sheetProtection algorithmName="SHA-512" hashValue="HDBmLv3vZRX56kThUHLJwcZkPuKl8TWGHzbIVnU45vxWOhT0G6YNRP3LMCrc85u+oVruwcALXGOTboZYt/1aTw==" saltValue="rootldd1Wn1iu+dr42s+Yg==" spinCount="100000" sheet="1" formatRows="0" selectLockedCells="1"/>
  <autoFilter ref="B2:F42" xr:uid="{306DB0EA-EB5A-4E84-8716-9E6116845EFE}"/>
  <mergeCells count="14">
    <mergeCell ref="G2:H2"/>
    <mergeCell ref="G9:H9"/>
    <mergeCell ref="G28:H28"/>
    <mergeCell ref="G38:H38"/>
    <mergeCell ref="G43:H43"/>
    <mergeCell ref="G3:H3"/>
    <mergeCell ref="G8:H8"/>
    <mergeCell ref="G32:H32"/>
    <mergeCell ref="G69:H69"/>
    <mergeCell ref="G44:H44"/>
    <mergeCell ref="G45:H45"/>
    <mergeCell ref="G52:H52"/>
    <mergeCell ref="G62:H62"/>
    <mergeCell ref="G68:H68"/>
  </mergeCells>
  <conditionalFormatting sqref="G2:H72">
    <cfRule type="expression" dxfId="55" priority="16">
      <formula>$B2=""</formula>
    </cfRule>
  </conditionalFormatting>
  <conditionalFormatting sqref="J2">
    <cfRule type="expression" dxfId="54" priority="120">
      <formula>$B2=""</formula>
    </cfRule>
  </conditionalFormatting>
  <conditionalFormatting sqref="G2:H2">
    <cfRule type="expression" dxfId="53" priority="134">
      <formula>LEFT($G$2,9)="Completed"</formula>
    </cfRule>
  </conditionalFormatting>
  <conditionalFormatting sqref="H4:H72">
    <cfRule type="expression" dxfId="52" priority="77">
      <formula>$B4="C"</formula>
    </cfRule>
    <cfRule type="expression" dxfId="51" priority="78">
      <formula>$B4="R"</formula>
    </cfRule>
  </conditionalFormatting>
  <dataValidations count="11">
    <dataValidation type="list" allowBlank="1" showInputMessage="1" showErrorMessage="1" sqref="H23 H63 H39 H16 H19:H20 H4:H6" xr:uid="{96B6CC90-C742-46B8-8F76-AE45CAE94D17}">
      <formula1>"Yes,No"</formula1>
    </dataValidation>
    <dataValidation type="list" allowBlank="1" showInputMessage="1" showErrorMessage="1" sqref="H15" xr:uid="{6CE3AED4-EEE1-401A-8CF7-EF5DC74689BC}">
      <formula1>"Foreign Company and a Financial Institution (FFI),Foreign Company and not a Financial Institution"</formula1>
    </dataValidation>
    <dataValidation type="list" allowBlank="1" showInputMessage="1" showErrorMessage="1" sqref="H24" xr:uid="{3EE8BBA0-387B-44A6-867D-AE64F236C276}">
      <formula1>"Entirely Outside of the United States,Entirely Inside of the United States, Partly Outside and Inside of the United States"</formula1>
    </dataValidation>
    <dataValidation type="date" allowBlank="1" showInputMessage="1" showErrorMessage="1" sqref="H26:H27" xr:uid="{0196C0F7-EB93-4EE3-96C4-56AEDC492FF5}">
      <formula1>32874</formula1>
      <formula2>767011</formula2>
    </dataValidation>
    <dataValidation type="textLength" allowBlank="1" showInputMessage="1" showErrorMessage="1" promptTitle="Routing/ABA Number" prompt="This field requires 9 digits without any special characters." sqref="H56 H65" xr:uid="{6BB981F5-1938-42AF-B99F-CEC5B10BADF9}">
      <formula1>9</formula1>
      <formula2>9</formula2>
    </dataValidation>
    <dataValidation allowBlank="1" showInputMessage="1" showErrorMessage="1" promptTitle="Bank Account Number" prompt="Double Check to ensure the bank account number is correct and fulfills the correct number of required characters if applicable." sqref="H59" xr:uid="{FD420091-525F-4D24-B041-6899A8207A4E}"/>
    <dataValidation type="list" allowBlank="1" showInputMessage="1" showErrorMessage="1" sqref="H5" xr:uid="{998C1E3E-FC5B-4140-950C-A45B48406C7F}">
      <formula1>"New,Update"</formula1>
    </dataValidation>
    <dataValidation type="list" allowBlank="1" showInputMessage="1" showErrorMessage="1" sqref="H40" xr:uid="{240F9D88-2BAF-4488-9520-CE56469F0F30}">
      <formula1>"My company is already registered with SAM,My company plans to regiser with SAM,My company does not plan to regiser with SAM"</formula1>
    </dataValidation>
    <dataValidation allowBlank="1" showInputMessage="1" showErrorMessage="1" promptTitle="Phone Number" prompt="Please do not input any special characters as part of the number. Example of special character include dashes, period, parenthesis, etc." sqref="H13 H50" xr:uid="{60C46AC4-8171-46EE-94A1-D5759D8173A8}"/>
    <dataValidation type="textLength" allowBlank="1" showInputMessage="1" showErrorMessage="1" errorTitle="12 Characters Required" error="The Unique Entity ID is a 12 character alphanumeric ID assigned to an entity by SAM.gov." promptTitle="SAM UEI Number" prompt="The Unique Entity ID is a 12 character alphanumeric ID assigned to an entity by SAM.gov. If you do not know or have this number, you may look it up or request one at the following link https://www.sam.gov." sqref="H17" xr:uid="{65D936D1-7B5D-453D-B67E-CF7A0F632DC1}">
      <formula1>12</formula1>
      <formula2>12</formula2>
    </dataValidation>
    <dataValidation type="list" allowBlank="1" showInputMessage="1" showErrorMessage="1" sqref="H33" xr:uid="{943D3C7B-522B-42AE-85CE-832595D87371}">
      <formula1>"Email (Plain Text Format),Email (HTML Format)"</formula1>
    </dataValidation>
  </dataValidations>
  <pageMargins left="0.7" right="0.7" top="0.75" bottom="0.75" header="0.3" footer="0.3"/>
  <pageSetup scale="64" orientation="portrait" r:id="rId1"/>
  <colBreaks count="1" manualBreakCount="1">
    <brk id="8"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31E526C-1ADD-42E5-ABFF-8706D650D4B5}">
          <x14:formula1>
            <xm:f>'Drop Down'!$F$2:$F$249</xm:f>
          </x14:formula1>
          <xm:sqref>H55 H49</xm:sqref>
        </x14:dataValidation>
        <x14:dataValidation type="list" allowBlank="1" showInputMessage="1" showErrorMessage="1" xr:uid="{C26A069F-D115-4CF1-9DEE-83937EEC24C2}">
          <x14:formula1>
            <xm:f>'Drop Down'!$U$2:$U$136</xm:f>
          </x14:formula1>
          <xm:sqref>H60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6AE23-8D4B-451F-B8EC-02A0073791EB}">
  <sheetPr>
    <pageSetUpPr fitToPage="1"/>
  </sheetPr>
  <dimension ref="B1:J102"/>
  <sheetViews>
    <sheetView showGridLines="0" zoomScaleNormal="100" workbookViewId="0">
      <pane ySplit="2" topLeftCell="A3" activePane="bottomLeft" state="frozen"/>
      <selection pane="bottomLeft" activeCell="H4" sqref="H4"/>
    </sheetView>
  </sheetViews>
  <sheetFormatPr defaultColWidth="9.140625" defaultRowHeight="15" x14ac:dyDescent="0.25"/>
  <cols>
    <col min="1" max="1" width="1.140625" style="8" customWidth="1"/>
    <col min="2" max="2" width="12.5703125" style="5" hidden="1" customWidth="1"/>
    <col min="3" max="3" width="9.85546875" style="5" hidden="1" customWidth="1"/>
    <col min="4" max="4" width="9.7109375" style="5" hidden="1" customWidth="1"/>
    <col min="5" max="5" width="9.85546875" style="5" hidden="1" customWidth="1"/>
    <col min="6" max="6" width="10.5703125" style="5" hidden="1" customWidth="1"/>
    <col min="7" max="7" width="56.28515625" style="6" customWidth="1"/>
    <col min="8" max="8" width="78.140625" style="17" customWidth="1"/>
    <col min="9" max="9" width="1.28515625" style="8" customWidth="1"/>
    <col min="10" max="10" width="12" style="8" customWidth="1"/>
    <col min="11" max="16384" width="9.140625" style="8"/>
  </cols>
  <sheetData>
    <row r="1" spans="2:10" ht="15.75" thickBot="1" x14ac:dyDescent="0.3">
      <c r="G1" s="34" t="str">
        <f>Home!C1&amp;" ("&amp;IF(Home!D8="Yes","Domestic ","")&amp;Home!$D$7&amp;")"</f>
        <v>Supplier Information Form (SIF) Version 2.0 Effective 2-21-2023 ()</v>
      </c>
    </row>
    <row r="2" spans="2:10" ht="63" customHeight="1" thickTop="1" thickBot="1" x14ac:dyDescent="0.3">
      <c r="B2" s="5" t="str">
        <f>IF(AND(Home!$D$7="Company",Home!$D$8&lt;&gt;"No"),"Conditional Formatting","")</f>
        <v/>
      </c>
      <c r="C2" s="5" t="s">
        <v>28</v>
      </c>
      <c r="D2" s="5" t="s">
        <v>84</v>
      </c>
      <c r="E2" s="5" t="s">
        <v>20</v>
      </c>
      <c r="F2" s="5" t="s">
        <v>21</v>
      </c>
      <c r="G2" s="54" t="str">
        <f>IF(AND(COUNTIF($B$3:$B$102,"R")&gt;0,COUNTIF($B$3:$B$102,"C")&gt;0),"There are "&amp;COUNTIF($B$3:$B$102,"R")&amp;" required fields remaining highlighted in yellow with mini-dots."&amp;CHAR(10)&amp;"There are "&amp;COUNTIF($B$3:$B$102,"C")&amp;" fields that need correction highlighted in red.",IF(AND(COUNTIF($B$3:$B$102,"R")&gt;0,COUNTIF($B$3:$B$102,"C")=0),"There are "&amp;COUNTIF($B$3:$B$102,"R")&amp;" required fields remaining highlighted in yellow with mini-dots.",IF(AND(COUNTIF($B$3:$B$102,"R")=0,COUNTIF($B$3:$B$102,"C")&gt;0),"There are "&amp;COUNTIF($B$3:$B$102,"C")&amp;" fields that need correction highlighted in red.","Completed! Please submit this excel file to the Emory personnel that provided you this form.")))</f>
        <v>Completed! Please submit this excel file to the Emory personnel that provided you this form.</v>
      </c>
      <c r="H2" s="55"/>
      <c r="J2" s="11" t="str">
        <f>HYPERLINK(CONCATENATE("#Home!D8"),"Click Here to Go Back")</f>
        <v>Click Here to Go Back</v>
      </c>
    </row>
    <row r="3" spans="2:10" ht="23.25" customHeight="1" thickTop="1" x14ac:dyDescent="0.25">
      <c r="B3" s="5" t="str">
        <f>IF(OR(Home!$D$7="",Home!$D$8="No"),"",IF(ISBLANK(HLOOKUP(Home!$D$7,$D$2:$F$102,ROW(A2),FALSE)),"",IF(H3="",HLOOKUP(Home!$D$7,$D$2:$F$102,ROW(A2),FALSE),IF(C3=FALSE,"C"))))</f>
        <v/>
      </c>
      <c r="C3" s="5" t="b">
        <v>1</v>
      </c>
      <c r="D3" s="15" t="s">
        <v>22</v>
      </c>
      <c r="E3" s="15" t="s">
        <v>22</v>
      </c>
      <c r="F3" s="15"/>
      <c r="G3" s="48" t="s">
        <v>19</v>
      </c>
      <c r="H3" s="58"/>
    </row>
    <row r="4" spans="2:10" ht="45" x14ac:dyDescent="0.25">
      <c r="B4" s="5" t="str">
        <f>IF(OR(Home!$D$7="",Home!$D$8="No"),"",IF(ISBLANK(HLOOKUP(Home!$D$7,$D$2:$F$102,ROW(A3),FALSE)),"",IF(H4="",HLOOKUP(Home!$D$7,$D$2:$F$102,ROW(A3),FALSE),IF(C4=FALSE,"C"))))</f>
        <v/>
      </c>
      <c r="C4" s="5" t="b">
        <v>1</v>
      </c>
      <c r="D4" s="15" t="s">
        <v>14</v>
      </c>
      <c r="E4" s="15" t="s">
        <v>14</v>
      </c>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5"/>
    </row>
    <row r="5" spans="2:10" ht="31.5" customHeight="1" x14ac:dyDescent="0.25">
      <c r="B5" s="5" t="str">
        <f>IF(OR(Home!$D$7="",Home!$D$8="No"),"",IF(ISBLANK(HLOOKUP(Home!$D$7,$D$2:$F$102,ROW(A4),FALSE)),"",IF(H5="",HLOOKUP(Home!$D$7,$D$2:$F$102,ROW(A4),FALSE),IF(C5=FALSE,"C"))))</f>
        <v/>
      </c>
      <c r="C5" s="5" t="b">
        <v>1</v>
      </c>
      <c r="D5" s="15" t="str">
        <f>IF(H4="Yes","R","Y")</f>
        <v>Y</v>
      </c>
      <c r="E5" s="15" t="str">
        <f>IF(H4="Yes","R","Y")</f>
        <v>Y</v>
      </c>
      <c r="F5" s="15"/>
      <c r="G5" s="9" t="str">
        <f>IF(H4="Yes",IF(Home!$D$7="Company","Does your company",IF(Home!$D$7="Individual","Do you",""))&amp;" only need to update the ACH/Banking information on file with Emory?","")</f>
        <v/>
      </c>
      <c r="H5" s="25"/>
    </row>
    <row r="6" spans="2:10" ht="30" x14ac:dyDescent="0.25">
      <c r="B6" s="5" t="str">
        <f>IF(OR(Home!$D$7="",Home!$D$8="No"),"",IF(ISBLANK(HLOOKUP(Home!$D$7,$D$2:$F$102,ROW(A5),FALSE)),"",IF(H6="",HLOOKUP(Home!$D$7,$D$2:$F$102,ROW(A5),FALSE),IF(C6=FALSE,"C"))))</f>
        <v/>
      </c>
      <c r="C6" s="5" t="b">
        <v>1</v>
      </c>
      <c r="D6" s="15" t="s">
        <v>14</v>
      </c>
      <c r="E6" s="15"/>
      <c r="F6" s="15"/>
      <c r="G6" s="9" t="s">
        <v>1056</v>
      </c>
      <c r="H6" s="25"/>
    </row>
    <row r="7" spans="2:10" ht="47.25" customHeight="1" x14ac:dyDescent="0.25">
      <c r="B7" s="5" t="str">
        <f>IF(OR(Home!$D$7="",Home!$D$8="No"),"",IF(ISBLANK(HLOOKUP(Home!$D$7,$D$2:$F$102,ROW(A6),FALSE)),"",IF(H7="",HLOOKUP(Home!$D$7,$D$2:$F$102,ROW(A6),FALSE),IF(C7=FALSE,"C"))))</f>
        <v/>
      </c>
      <c r="C7" s="5" t="b">
        <v>1</v>
      </c>
      <c r="D7" s="15" t="str">
        <f>IF(H6="Yes","R","Y")</f>
        <v>Y</v>
      </c>
      <c r="E7" s="15"/>
      <c r="F7" s="15"/>
      <c r="G7" s="9" t="str">
        <f>IF(H6="Yes","Please provide a brief description of the merger, acquisition, or spinoff:","")</f>
        <v/>
      </c>
      <c r="H7" s="25"/>
    </row>
    <row r="8" spans="2:10" ht="15" customHeight="1" x14ac:dyDescent="0.25">
      <c r="B8" s="5" t="str">
        <f>IF(OR(Home!$D$7="",Home!$D$8="No"),"",IF(ISBLANK(HLOOKUP(Home!$D$7,$D$2:$F$102,ROW(A7),FALSE)),"",IF(H8="",HLOOKUP(Home!$D$7,$D$2:$F$102,ROW(A7),FALSE),IF(C8=FALSE,"C"))))</f>
        <v/>
      </c>
      <c r="C8" s="5" t="b">
        <v>1</v>
      </c>
      <c r="D8" s="15" t="s">
        <v>22</v>
      </c>
      <c r="E8" s="15" t="s">
        <v>22</v>
      </c>
      <c r="F8" s="15" t="s">
        <v>22</v>
      </c>
      <c r="G8" s="48"/>
      <c r="H8" s="58"/>
    </row>
    <row r="9" spans="2:10" ht="30.75" customHeight="1" x14ac:dyDescent="0.25">
      <c r="B9" s="5" t="str">
        <f>IF(OR(Home!$D$7="",Home!$D$8="No"),"",IF(ISBLANK(HLOOKUP(Home!$D$7,$D$2:$F$102,ROW(A8),FALSE)),"",IF(H9="",HLOOKUP(Home!$D$7,$D$2:$F$102,ROW(A8),FALSE),IF(C9=FALSE,"C"))))</f>
        <v/>
      </c>
      <c r="C9" s="5" t="b">
        <v>1</v>
      </c>
      <c r="D9" s="15" t="str">
        <f>IF(COUNTIF($B$4:$B$7,"R")&gt;0,"","Y")</f>
        <v>Y</v>
      </c>
      <c r="E9" s="15" t="str">
        <f>IF(COUNTIF($B$4:$B$7,"R")&gt;0,"","Y")</f>
        <v>Y</v>
      </c>
      <c r="F9" s="15" t="s">
        <v>22</v>
      </c>
      <c r="G9" s="56" t="str">
        <f>Home!D7&amp;" Name and Information"</f>
        <v xml:space="preserve"> Name and Information</v>
      </c>
      <c r="H9" s="57"/>
    </row>
    <row r="10" spans="2:10" x14ac:dyDescent="0.25">
      <c r="B10" s="5" t="str">
        <f>IF(OR(Home!$D$7="",Home!$D$8="No"),"",IF(ISBLANK(HLOOKUP(Home!$D$7,$D$2:$F$102,ROW(A9),FALSE)),"",IF(H10="",HLOOKUP(Home!$D$7,$D$2:$F$102,ROW(A9),FALSE),IF(C10=FALSE,"C"))))</f>
        <v/>
      </c>
      <c r="C10" s="5" t="b">
        <v>1</v>
      </c>
      <c r="D10" s="15" t="str">
        <f>IF(COUNTIF($B$4:$B$7,"R")&gt;0,"",IF($H$5="Yes","Y","R"))</f>
        <v>R</v>
      </c>
      <c r="E10" s="15" t="str">
        <f>IF(COUNTIF($B$4:$B$7,"R")&gt;0,"",IF($H$5="Yes","Y","R"))</f>
        <v>R</v>
      </c>
      <c r="F10" s="15" t="s">
        <v>14</v>
      </c>
      <c r="G10" s="9" t="s">
        <v>23</v>
      </c>
      <c r="H10" s="25"/>
    </row>
    <row r="11" spans="2:10" x14ac:dyDescent="0.25">
      <c r="B11" s="5" t="str">
        <f>IF(OR(Home!$D$7="",Home!$D$8="No"),"",IF(ISBLANK(HLOOKUP(Home!$D$7,$D$2:$F$102,ROW(A10),FALSE)),"",IF(H11="",HLOOKUP(Home!$D$7,$D$2:$F$102,ROW(A10),FALSE),IF(C11=FALSE,"C"))))</f>
        <v/>
      </c>
      <c r="C11" s="5" t="b">
        <v>1</v>
      </c>
      <c r="D11" s="15" t="str">
        <f t="shared" ref="D11:E11" si="0">IF(COUNTIF($B$4:$B$7,"R")&gt;0,"","Y")</f>
        <v>Y</v>
      </c>
      <c r="E11" s="15" t="str">
        <f t="shared" si="0"/>
        <v>Y</v>
      </c>
      <c r="F11" s="15"/>
      <c r="G11" s="9" t="s">
        <v>2</v>
      </c>
      <c r="H11" s="25"/>
    </row>
    <row r="12" spans="2:10" x14ac:dyDescent="0.25">
      <c r="B12" s="5" t="str">
        <f>IF(OR(Home!$D$7="",Home!$D$8="No"),"",IF(ISBLANK(HLOOKUP(Home!$D$7,$D$2:$F$102,ROW(A11),FALSE)),"",IF(H12="",HLOOKUP(Home!$D$7,$D$2:$F$102,ROW(A11),FALSE),IF(C12=FALSE,"C"))))</f>
        <v/>
      </c>
      <c r="C12" s="5" t="b">
        <f>LEN(H12)=12</f>
        <v>0</v>
      </c>
      <c r="D12" s="15" t="str">
        <f>IF(COUNTIF($B$4:$B$7,"R")&gt;0,"",IF($H$5="Yes","Y","Y"))</f>
        <v>Y</v>
      </c>
      <c r="E12" s="13"/>
      <c r="F12" s="15"/>
      <c r="G12" s="9" t="s">
        <v>1061</v>
      </c>
      <c r="H12" s="25"/>
    </row>
    <row r="13" spans="2:10" x14ac:dyDescent="0.25">
      <c r="B13" s="5" t="str">
        <f>IF(OR(Home!$D$7="",Home!$D$8="No"),"",IF(ISBLANK(HLOOKUP(Home!$D$7,$D$2:$F$102,ROW(A12),FALSE)),"",IF(H13="",HLOOKUP(Home!$D$7,$D$2:$F$102,ROW(A12),FALSE),IF(C13=FALSE,"C"))))</f>
        <v/>
      </c>
      <c r="C13" s="5" t="b">
        <v>1</v>
      </c>
      <c r="D13" s="15" t="str">
        <f t="shared" ref="D13:E18" si="1">IF(COUNTIF($B$4:$B$7,"R")&gt;0,"",IF($H$5="Yes","Y","R"))</f>
        <v>R</v>
      </c>
      <c r="E13" s="15" t="str">
        <f t="shared" si="1"/>
        <v>R</v>
      </c>
      <c r="F13" s="15" t="s">
        <v>14</v>
      </c>
      <c r="G13" s="9" t="s">
        <v>1</v>
      </c>
      <c r="H13" s="25"/>
    </row>
    <row r="14" spans="2:10" x14ac:dyDescent="0.25">
      <c r="B14" s="5" t="str">
        <f>IF(OR(Home!$D$7="",Home!$D$8="No"),"",IF(ISBLANK(HLOOKUP(Home!$D$7,$D$2:$F$102,ROW(A13),FALSE)),"",IF(H14="",HLOOKUP(Home!$D$7,$D$2:$F$102,ROW(A13),FALSE),IF(C14=FALSE,"C"))))</f>
        <v/>
      </c>
      <c r="C14" s="5" t="b">
        <f>AND(ISNUMBER(H14+0),LEFT(H14,1)="1")</f>
        <v>0</v>
      </c>
      <c r="D14" s="15" t="str">
        <f t="shared" si="1"/>
        <v>R</v>
      </c>
      <c r="E14" s="15" t="str">
        <f t="shared" si="1"/>
        <v>R</v>
      </c>
      <c r="F14" s="15" t="s">
        <v>14</v>
      </c>
      <c r="G14" s="9" t="s">
        <v>3</v>
      </c>
      <c r="H14" s="25"/>
    </row>
    <row r="15" spans="2:10" x14ac:dyDescent="0.25">
      <c r="B15" s="5" t="str">
        <f>IF(OR(Home!$D$7="",Home!$D$8="No"),"",IF(ISBLANK(HLOOKUP(Home!$D$7,$D$2:$F$102,ROW(A14),FALSE)),"",IF(H15="",HLOOKUP(Home!$D$7,$D$2:$F$102,ROW(A14),FALSE),IF(C15=FALSE,"C"))))</f>
        <v/>
      </c>
      <c r="C15" s="5" t="b">
        <f>IF(H15="",TRUE,ISNUMBER(FIND("@",H15,1)+FIND(".",H15,1)))</f>
        <v>1</v>
      </c>
      <c r="D15" s="15" t="str">
        <f t="shared" si="1"/>
        <v>R</v>
      </c>
      <c r="E15" s="15" t="str">
        <f t="shared" si="1"/>
        <v>R</v>
      </c>
      <c r="F15" s="15" t="s">
        <v>14</v>
      </c>
      <c r="G15" s="9" t="s">
        <v>4</v>
      </c>
      <c r="H15" s="26"/>
    </row>
    <row r="16" spans="2:10" x14ac:dyDescent="0.25">
      <c r="B16" s="5" t="str">
        <f>IF(OR(Home!$D$7="",Home!$D$8="No"),"",IF(ISBLANK(HLOOKUP(Home!$D$7,$D$2:$F$102,ROW(A15),FALSE)),"",IF(H16="",HLOOKUP(Home!$D$7,$D$2:$F$102,ROW(A15),FALSE),IF(C16=FALSE,"C"))))</f>
        <v/>
      </c>
      <c r="C16" s="5" t="b">
        <v>1</v>
      </c>
      <c r="D16" s="15" t="str">
        <f t="shared" si="1"/>
        <v>R</v>
      </c>
      <c r="E16" s="15"/>
      <c r="F16" s="15"/>
      <c r="G16" s="9" t="s">
        <v>1054</v>
      </c>
      <c r="H16" s="25"/>
    </row>
    <row r="17" spans="2:8" x14ac:dyDescent="0.25">
      <c r="B17" s="5" t="str">
        <f>IF(OR(Home!$D$7="",Home!$D$8="No"),"",IF(ISBLANK(HLOOKUP(Home!$D$7,$D$2:$F$102,ROW(A16),FALSE)),"",IF(H17="",HLOOKUP(Home!$D$7,$D$2:$F$102,ROW(A16),FALSE),IF(C17=FALSE,"C"))))</f>
        <v/>
      </c>
      <c r="C17" s="5" t="b">
        <f>ISNUMBER(H17+0)</f>
        <v>1</v>
      </c>
      <c r="D17" s="15" t="str">
        <f>IF(COUNTIF($B$4:$B$7,"R")&gt;0,"",IF(OR($H$5="Yes",H16=""),"Y","R"))</f>
        <v>Y</v>
      </c>
      <c r="E17" s="15" t="str">
        <f t="shared" si="1"/>
        <v>R</v>
      </c>
      <c r="F17" s="15" t="s">
        <v>14</v>
      </c>
      <c r="G17" s="9" t="str">
        <f>IF(OR(Home!$D$7="Study Participant",Home!$D$7="Individual"),"Social Security Number (SSN) (9 Digits):",IF(H16="","",$H$16&amp;" (9 Digits) :"))</f>
        <v/>
      </c>
      <c r="H17" s="25"/>
    </row>
    <row r="18" spans="2:8" ht="30" x14ac:dyDescent="0.25">
      <c r="B18" s="5" t="str">
        <f>IF(OR(Home!$D$7="",Home!$D$8="No"),"",IF(ISBLANK(HLOOKUP(Home!$D$7,$D$2:$F$102,ROW(A17),FALSE)),"",IF(H18="",HLOOKUP(Home!$D$7,$D$2:$F$102,ROW(A17),FALSE),IF(C18=FALSE,"C"))))</f>
        <v/>
      </c>
      <c r="C18" s="5" t="b">
        <v>1</v>
      </c>
      <c r="D18" s="15" t="str">
        <f t="shared" si="1"/>
        <v>R</v>
      </c>
      <c r="E18" s="15"/>
      <c r="F18" s="15"/>
      <c r="G18" s="9" t="s">
        <v>1055</v>
      </c>
      <c r="H18" s="25"/>
    </row>
    <row r="19" spans="2:8" x14ac:dyDescent="0.25">
      <c r="B19" s="5" t="str">
        <f>IF(OR(Home!$D$7="",Home!$D$8="No"),"",IF(ISBLANK(HLOOKUP(Home!$D$7,$D$2:$F$102,ROW(A18),FALSE)),"",IF(H19="",HLOOKUP(Home!$D$7,$D$2:$F$102,ROW(A18),FALSE),IF(C19=FALSE,"C"))))</f>
        <v/>
      </c>
      <c r="C19" s="5" t="b">
        <v>1</v>
      </c>
      <c r="D19" s="15" t="str">
        <f>IF(COUNTIF($B$4:$B$7,"R")&gt;0,"",IF($H$18="Limited Liability Company (LLC)","R","Y"))</f>
        <v>Y</v>
      </c>
      <c r="E19" s="15"/>
      <c r="F19" s="15"/>
      <c r="G19" s="9" t="str">
        <f>IF(H18="Limited Liability Company (LLC)","If LLC, Select Tax Classification:","")</f>
        <v/>
      </c>
      <c r="H19" s="25"/>
    </row>
    <row r="20" spans="2:8" ht="30" x14ac:dyDescent="0.25">
      <c r="B20" s="5" t="str">
        <f>IF(OR(Home!$D$7="",Home!$D$8="No"),"",IF(ISBLANK(HLOOKUP(Home!$D$7,$D$2:$F$102,ROW(A19),FALSE)),"",IF(H20="",HLOOKUP(Home!$D$7,$D$2:$F$102,ROW(A19),FALSE),IF(C20=FALSE,"C"))))</f>
        <v/>
      </c>
      <c r="C20" s="5" t="b">
        <v>1</v>
      </c>
      <c r="D20" s="15" t="str">
        <f>IF(COUNTIF($B$4:$B$7,"R")&gt;0,"",IF(OR($H$5="Yes",$H$18="Individual"),"Y","R"))</f>
        <v>R</v>
      </c>
      <c r="E20" s="15"/>
      <c r="F20" s="15"/>
      <c r="G20" s="9" t="s">
        <v>1057</v>
      </c>
      <c r="H20" s="25"/>
    </row>
    <row r="21" spans="2:8" x14ac:dyDescent="0.25">
      <c r="B21" s="5" t="str">
        <f>IF(OR(Home!$D$7="",Home!$D$8="No"),"",IF(ISBLANK(HLOOKUP(Home!$D$7,$D$2:$F$102,ROW(A20),FALSE)),"",IF(H21="",HLOOKUP(Home!$D$7,$D$2:$F$102,ROW(A20),FALSE),IF(C21=FALSE,"C"))))</f>
        <v/>
      </c>
      <c r="C21" s="5" t="b">
        <v>1</v>
      </c>
      <c r="D21" s="15" t="str">
        <f t="shared" ref="D21:D25" si="2">IF(COUNTIF($B$4:$B$7,"R")&gt;0,"",IF(OR($H$5="Yes",$H$20="",$H$20="No",$H$20="Yes - Small Only"),"Y","R"))</f>
        <v>Y</v>
      </c>
      <c r="E21" s="15"/>
      <c r="F21" s="15"/>
      <c r="G21" s="9" t="str">
        <f>IF(OR($H$20="Yes - Small and Diverse",$H$20="Yes - Diverse Only"),"Indicate if Disadvantaged Business (DBE):","")</f>
        <v/>
      </c>
      <c r="H21" s="25"/>
    </row>
    <row r="22" spans="2:8" x14ac:dyDescent="0.25">
      <c r="B22" s="5" t="str">
        <f>IF(OR(Home!$D$7="",Home!$D$8="No"),"",IF(ISBLANK(HLOOKUP(Home!$D$7,$D$2:$F$102,ROW(A21),FALSE)),"",IF(H22="",HLOOKUP(Home!$D$7,$D$2:$F$102,ROW(A21),FALSE),IF(C22=FALSE,"C"))))</f>
        <v/>
      </c>
      <c r="C22" s="5" t="b">
        <v>1</v>
      </c>
      <c r="D22" s="15" t="str">
        <f t="shared" si="2"/>
        <v>Y</v>
      </c>
      <c r="E22" s="15"/>
      <c r="F22" s="15"/>
      <c r="G22" s="9" t="str">
        <f>IF(OR($H$20="Yes - Small and Diverse",$H$20="Yes - Diverse Only"),"Indicate if Woman-Owned Business (WBE):","")</f>
        <v/>
      </c>
      <c r="H22" s="25"/>
    </row>
    <row r="23" spans="2:8" x14ac:dyDescent="0.25">
      <c r="B23" s="5" t="str">
        <f>IF(OR(Home!$D$7="",Home!$D$8="No"),"",IF(ISBLANK(HLOOKUP(Home!$D$7,$D$2:$F$102,ROW(A22),FALSE)),"",IF(H23="",HLOOKUP(Home!$D$7,$D$2:$F$102,ROW(A22),FALSE),IF(C23=FALSE,"C"))))</f>
        <v/>
      </c>
      <c r="C23" s="5" t="b">
        <v>1</v>
      </c>
      <c r="D23" s="15" t="str">
        <f t="shared" si="2"/>
        <v>Y</v>
      </c>
      <c r="E23" s="15"/>
      <c r="F23" s="15"/>
      <c r="G23" s="9" t="str">
        <f>IF(OR($H$20="Yes - Small and Diverse",$H$20="Yes - Diverse Only"),"Indicate if Minority Owned Business (MBE):","")</f>
        <v/>
      </c>
      <c r="H23" s="25"/>
    </row>
    <row r="24" spans="2:8" x14ac:dyDescent="0.25">
      <c r="B24" s="5" t="str">
        <f>IF(OR(Home!$D$7="",Home!$D$8="No"),"",IF(ISBLANK(HLOOKUP(Home!$D$7,$D$2:$F$102,ROW(A23),FALSE)),"",IF(H24="",HLOOKUP(Home!$D$7,$D$2:$F$102,ROW(A23),FALSE),IF(C24=FALSE,"C"))))</f>
        <v/>
      </c>
      <c r="C24" s="5" t="b">
        <v>1</v>
      </c>
      <c r="D24" s="15" t="str">
        <f t="shared" si="2"/>
        <v>Y</v>
      </c>
      <c r="E24" s="15"/>
      <c r="F24" s="15"/>
      <c r="G24" s="9" t="str">
        <f>IF(OR($H$20="Yes - Small and Diverse",$H$20="Yes - Diverse Only"),"Indicate if Veteran Owned Business (VBE):","")</f>
        <v/>
      </c>
      <c r="H24" s="25"/>
    </row>
    <row r="25" spans="2:8" ht="32.25" customHeight="1" x14ac:dyDescent="0.25">
      <c r="B25" s="5" t="str">
        <f>IF(OR(Home!$D$7="",Home!$D$8="No"),"",IF(ISBLANK(HLOOKUP(Home!$D$7,$D$2:$F$102,ROW(A24),FALSE)),"",IF(H25="",HLOOKUP(Home!$D$7,$D$2:$F$102,ROW(A24),FALSE),IF(C25=FALSE,"C"))))</f>
        <v/>
      </c>
      <c r="C25" s="5" t="b">
        <v>1</v>
      </c>
      <c r="D25" s="15" t="str">
        <f t="shared" si="2"/>
        <v>Y</v>
      </c>
      <c r="E25" s="15"/>
      <c r="F25" s="15"/>
      <c r="G25" s="9" t="str">
        <f>IF(OR($H$20="Yes - Small and Diverse",$H$20="Yes - Diverse Only"),"Indicate if Historically Black Colleges / Universities &amp; Minority Institutions:","")</f>
        <v/>
      </c>
      <c r="H25" s="25"/>
    </row>
    <row r="26" spans="2:8" x14ac:dyDescent="0.25">
      <c r="B26" s="5" t="str">
        <f>IF(OR(Home!$D$7="",Home!$D$8="No"),"",IF(ISBLANK(HLOOKUP(Home!$D$7,$D$2:$F$102,ROW(A25),FALSE)),"",IF(H26="",HLOOKUP(Home!$D$7,$D$2:$F$102,ROW(A25),FALSE),IF(C26=FALSE,"C"))))</f>
        <v/>
      </c>
      <c r="C26" s="5" t="b">
        <v>1</v>
      </c>
      <c r="D26" s="15" t="str">
        <f t="shared" ref="D26:D28" si="3">IF(COUNTIF($B$4:$B$7,"R")&gt;0,"",IF(OR($H$5="Yes",$H$20="",$H$20="No",$H$20="Yes - Small Only",$H$20="Yes - Diverse Only"),"Y","R"))</f>
        <v>Y</v>
      </c>
      <c r="E26" s="15"/>
      <c r="F26" s="15"/>
      <c r="G26" s="9" t="str">
        <f>IF(OR($H$20="Yes - Small and Diverse"),"Indicate if HUBZone Small Business (HUB Zone):","")</f>
        <v/>
      </c>
      <c r="H26" s="25"/>
    </row>
    <row r="27" spans="2:8" ht="33.75" customHeight="1" x14ac:dyDescent="0.25">
      <c r="B27" s="5" t="str">
        <f>IF(OR(Home!$D$7="",Home!$D$8="No"),"",IF(ISBLANK(HLOOKUP(Home!$D$7,$D$2:$F$102,ROW(A26),FALSE)),"",IF(H27="",HLOOKUP(Home!$D$7,$D$2:$F$102,ROW(A26),FALSE),IF(C27=FALSE,"C"))))</f>
        <v/>
      </c>
      <c r="C27" s="5" t="b">
        <v>1</v>
      </c>
      <c r="D27" s="15" t="str">
        <f t="shared" si="3"/>
        <v>Y</v>
      </c>
      <c r="E27" s="15"/>
      <c r="F27" s="15"/>
      <c r="G27" s="9" t="str">
        <f>IF(OR($H$20="Yes - Small and Diverse"),"Indicate if Service Disabled Veteran-Owned Small Business (SDVOSB):","")</f>
        <v/>
      </c>
      <c r="H27" s="25"/>
    </row>
    <row r="28" spans="2:8" ht="33.75" customHeight="1" x14ac:dyDescent="0.25">
      <c r="B28" s="5" t="str">
        <f>IF(OR(Home!$D$7="",Home!$D$8="No"),"",IF(ISBLANK(HLOOKUP(Home!$D$7,$D$2:$F$102,ROW(A27),FALSE)),"",IF(H28="",HLOOKUP(Home!$D$7,$D$2:$F$102,ROW(A27),FALSE),IF(C28=FALSE,"C"))))</f>
        <v/>
      </c>
      <c r="C28" s="5" t="b">
        <v>1</v>
      </c>
      <c r="D28" s="15" t="str">
        <f t="shared" si="3"/>
        <v>Y</v>
      </c>
      <c r="E28" s="15"/>
      <c r="F28" s="15"/>
      <c r="G28" s="9" t="str">
        <f>IF(OR($H$20="Yes - Small and Diverse"),"Indicate if Alaskan Native Corporations (ANCs) &amp; Indian Tribes):","")</f>
        <v/>
      </c>
      <c r="H28" s="25"/>
    </row>
    <row r="29" spans="2:8" ht="23.25" customHeight="1" x14ac:dyDescent="0.25">
      <c r="B29" s="5" t="str">
        <f>IF(OR(Home!$D$7="",Home!$D$8="No"),"",IF(ISBLANK(HLOOKUP(Home!$D$7,$D$2:$F$102,ROW(A28),FALSE)),"",IF(H29="",HLOOKUP(Home!$D$7,$D$2:$F$102,ROW(A28),FALSE),IF(C29=FALSE,"C"))))</f>
        <v/>
      </c>
      <c r="C29" s="5" t="b">
        <v>1</v>
      </c>
      <c r="D29" s="15" t="str">
        <f t="shared" ref="D29:E29" si="4">IF(COUNTIF($B$4:$B$7,"R")&gt;0,"","Y")</f>
        <v>Y</v>
      </c>
      <c r="E29" s="15" t="str">
        <f t="shared" si="4"/>
        <v>Y</v>
      </c>
      <c r="F29" s="15" t="s">
        <v>22</v>
      </c>
      <c r="G29" s="48" t="s">
        <v>5</v>
      </c>
      <c r="H29" s="58"/>
    </row>
    <row r="30" spans="2:8" x14ac:dyDescent="0.25">
      <c r="B30" s="5" t="str">
        <f>IF(OR(Home!$D$7="",Home!$D$8="No"),"",IF(ISBLANK(HLOOKUP(Home!$D$7,$D$2:$F$102,ROW(A29),FALSE)),"",IF(H30="",HLOOKUP(Home!$D$7,$D$2:$F$102,ROW(A29),FALSE),IF(C30=FALSE,"C"))))</f>
        <v/>
      </c>
      <c r="C30" s="5" t="b">
        <f>LEN(H30)&lt;=35</f>
        <v>1</v>
      </c>
      <c r="D30" s="15" t="str">
        <f t="shared" ref="D30:E30" si="5">IF(COUNTIF($B$4:$B$7,"R")&gt;0,"",IF($H$5="Yes","Y","R"))</f>
        <v>R</v>
      </c>
      <c r="E30" s="15" t="str">
        <f t="shared" si="5"/>
        <v>R</v>
      </c>
      <c r="F30" s="15" t="s">
        <v>14</v>
      </c>
      <c r="G30" s="9" t="s">
        <v>16</v>
      </c>
      <c r="H30" s="25"/>
    </row>
    <row r="31" spans="2:8" x14ac:dyDescent="0.25">
      <c r="B31" s="5" t="str">
        <f>IF(OR(Home!$D$7="",Home!$D$8="No"),"",IF(ISBLANK(HLOOKUP(Home!$D$7,$D$2:$F$102,ROW(A30),FALSE)),"",IF(H31="",HLOOKUP(Home!$D$7,$D$2:$F$102,ROW(A30),FALSE),IF(C31=FALSE,"C"))))</f>
        <v/>
      </c>
      <c r="C31" s="5" t="b">
        <f>LEN(H31)&lt;=35</f>
        <v>1</v>
      </c>
      <c r="D31" s="15" t="str">
        <f t="shared" ref="D31:E31" si="6">IF(COUNTIF($B$4:$B$7,"R")&gt;0,"","Y")</f>
        <v>Y</v>
      </c>
      <c r="E31" s="15" t="str">
        <f t="shared" si="6"/>
        <v>Y</v>
      </c>
      <c r="F31" s="15" t="s">
        <v>22</v>
      </c>
      <c r="G31" s="9" t="s">
        <v>17</v>
      </c>
      <c r="H31" s="25"/>
    </row>
    <row r="32" spans="2:8" x14ac:dyDescent="0.25">
      <c r="B32" s="5" t="str">
        <f>IF(OR(Home!$D$7="",Home!$D$8="No"),"",IF(ISBLANK(HLOOKUP(Home!$D$7,$D$2:$F$102,ROW(A31),FALSE)),"",IF(H32="",HLOOKUP(Home!$D$7,$D$2:$F$102,ROW(A31),FALSE),IF(C32=FALSE,"C"))))</f>
        <v/>
      </c>
      <c r="C32" s="5" t="b">
        <v>1</v>
      </c>
      <c r="D32" s="15" t="str">
        <f t="shared" ref="D32:E34" si="7">IF(COUNTIF($B$4:$B$7,"R")&gt;0,"",IF($H$5="Yes","Y","R"))</f>
        <v>R</v>
      </c>
      <c r="E32" s="15" t="str">
        <f t="shared" si="7"/>
        <v>R</v>
      </c>
      <c r="F32" s="15" t="s">
        <v>14</v>
      </c>
      <c r="G32" s="9" t="s">
        <v>6</v>
      </c>
      <c r="H32" s="25"/>
    </row>
    <row r="33" spans="2:8" x14ac:dyDescent="0.25">
      <c r="B33" s="5" t="str">
        <f>IF(OR(Home!$D$7="",Home!$D$8="No"),"",IF(ISBLANK(HLOOKUP(Home!$D$7,$D$2:$F$102,ROW(A32),FALSE)),"",IF(H33="",HLOOKUP(Home!$D$7,$D$2:$F$102,ROW(A32),FALSE),IF(C33=FALSE,"C"))))</f>
        <v/>
      </c>
      <c r="C33" s="5" t="b">
        <v>1</v>
      </c>
      <c r="D33" s="15" t="str">
        <f t="shared" si="7"/>
        <v>R</v>
      </c>
      <c r="E33" s="15" t="str">
        <f t="shared" si="7"/>
        <v>R</v>
      </c>
      <c r="F33" s="15" t="s">
        <v>14</v>
      </c>
      <c r="G33" s="9" t="s">
        <v>7</v>
      </c>
      <c r="H33" s="25"/>
    </row>
    <row r="34" spans="2:8" x14ac:dyDescent="0.25">
      <c r="B34" s="5" t="str">
        <f>IF(OR(Home!$D$7="",Home!$D$8="No"),"",IF(ISBLANK(HLOOKUP(Home!$D$7,$D$2:$F$102,ROW(A33),FALSE)),"",IF(H34="",HLOOKUP(Home!$D$7,$D$2:$F$102,ROW(A33),FALSE),IF(C34=FALSE,"C"))))</f>
        <v/>
      </c>
      <c r="C34" s="5" t="b">
        <v>1</v>
      </c>
      <c r="D34" s="15" t="str">
        <f t="shared" si="7"/>
        <v>R</v>
      </c>
      <c r="E34" s="15" t="str">
        <f t="shared" si="7"/>
        <v>R</v>
      </c>
      <c r="F34" s="15" t="s">
        <v>14</v>
      </c>
      <c r="G34" s="9" t="s">
        <v>29</v>
      </c>
      <c r="H34" s="25"/>
    </row>
    <row r="35" spans="2:8" x14ac:dyDescent="0.25">
      <c r="B35" s="5" t="str">
        <f>IF(OR(Home!$D$7="",Home!$D$8="No"),"",IF(ISBLANK(HLOOKUP(Home!$D$7,$D$2:$F$102,ROW(A34),FALSE)),"",IF(H35="",HLOOKUP(Home!$D$7,$D$2:$F$102,ROW(A34),FALSE),IF(C35=FALSE,"C"))))</f>
        <v/>
      </c>
      <c r="C35" s="5" t="b">
        <f>AND(ISNUMBER(H35+0),LEFT(H35,1)="1")</f>
        <v>0</v>
      </c>
      <c r="D35" s="15" t="str">
        <f>IF(COUNTIF($B$4:$B$7,"R")&gt;0,"",IF($H$5="Yes","Y","R"))</f>
        <v>R</v>
      </c>
      <c r="E35" s="13"/>
      <c r="F35" s="15"/>
      <c r="G35" s="9" t="s">
        <v>10</v>
      </c>
      <c r="H35" s="25"/>
    </row>
    <row r="36" spans="2:8" x14ac:dyDescent="0.25">
      <c r="B36" s="5" t="str">
        <f>IF(OR(Home!$D$7="",Home!$D$8="No"),"",IF(ISBLANK(HLOOKUP(Home!$D$7,$D$2:$F$102,ROW(A35),FALSE)),"",IF(H36="",HLOOKUP(Home!$D$7,$D$2:$F$102,ROW(A35),FALSE),IF(C36=FALSE,"C"))))</f>
        <v/>
      </c>
      <c r="C36" s="5" t="b">
        <f>IF(H36="",TRUE,ISNUMBER(FIND("@",H36,1)+FIND(".",H36,1)))</f>
        <v>1</v>
      </c>
      <c r="D36" s="15" t="str">
        <f>IF(COUNTIF($B$4:$B$7,"R")&gt;0,"",IF($H$5="Yes","Y","R"))</f>
        <v>R</v>
      </c>
      <c r="E36" s="13"/>
      <c r="F36" s="15"/>
      <c r="G36" s="9" t="s">
        <v>9</v>
      </c>
      <c r="H36" s="25"/>
    </row>
    <row r="37" spans="2:8" ht="23.25" customHeight="1" x14ac:dyDescent="0.25">
      <c r="B37" s="5" t="str">
        <f>IF(OR(Home!$D$7="",Home!$D$8="No"),"",IF(ISBLANK(HLOOKUP(Home!$D$7,$D$2:$F$102,ROW(A36),FALSE)),"",IF(H37="",HLOOKUP(Home!$D$7,$D$2:$F$102,ROW(A36),FALSE),IF(C37=FALSE,"C"))))</f>
        <v/>
      </c>
      <c r="C37" s="5" t="b">
        <v>1</v>
      </c>
      <c r="D37" s="15" t="str">
        <f>IF(COUNTIF($B$4:$B$7,"R")&gt;0,"","Y")</f>
        <v>Y</v>
      </c>
      <c r="E37" s="13"/>
      <c r="F37" s="15"/>
      <c r="G37" s="48" t="s">
        <v>81</v>
      </c>
      <c r="H37" s="58"/>
    </row>
    <row r="38" spans="2:8" x14ac:dyDescent="0.25">
      <c r="B38" s="5" t="str">
        <f>IF(OR(Home!$D$7="",Home!$D$8="No"),"",IF(ISBLANK(HLOOKUP(Home!$D$7,$D$2:$F$102,ROW(A37),FALSE)),"",IF(H38="",HLOOKUP(Home!$D$7,$D$2:$F$102,ROW(A37),FALSE),IF(C38=FALSE,"C"))))</f>
        <v/>
      </c>
      <c r="C38" s="5" t="b">
        <v>1</v>
      </c>
      <c r="D38" s="15" t="str">
        <f>IF(COUNTIF($B$4:$B$7,"R")&gt;0,"",IF($H$5="Yes","Y","R"))</f>
        <v>R</v>
      </c>
      <c r="E38" s="13"/>
      <c r="F38" s="15"/>
      <c r="G38" s="9" t="s">
        <v>11</v>
      </c>
      <c r="H38" s="25"/>
    </row>
    <row r="39" spans="2:8" x14ac:dyDescent="0.25">
      <c r="B39" s="5" t="str">
        <f>IF(OR(Home!$D$7="",Home!$D$8="No"),"",IF(ISBLANK(HLOOKUP(Home!$D$7,$D$2:$F$102,ROW(A38),FALSE)),"",IF(H39="",HLOOKUP(Home!$D$7,$D$2:$F$102,ROW(A38),FALSE),IF(C39=FALSE,"C"))))</f>
        <v/>
      </c>
      <c r="C39" s="5" t="b">
        <f>IF(H39="",TRUE,ISNUMBER(FIND("@",H39,1)+FIND(".",H39,1)))</f>
        <v>1</v>
      </c>
      <c r="D39" s="15" t="str">
        <f>IF(COUNTIF($B$4:$B$7,"R")&gt;0,"",IF(LEFT($H$38,5)="Email","R","Y"))</f>
        <v>Y</v>
      </c>
      <c r="E39" s="13"/>
      <c r="F39" s="15"/>
      <c r="G39" s="9" t="str">
        <f>IF(LEFT($H$38,5)="Email","Email for Receiving Orders:","")</f>
        <v/>
      </c>
      <c r="H39" s="25"/>
    </row>
    <row r="40" spans="2:8" x14ac:dyDescent="0.25">
      <c r="B40" s="5" t="str">
        <f>IF(OR(Home!$D$7="",Home!$D$8="No"),"",IF(ISBLANK(HLOOKUP(Home!$D$7,$D$2:$F$102,ROW(A39),FALSE)),"",IF(H40="",HLOOKUP(Home!$D$7,$D$2:$F$102,ROW(A39),FALSE),IF(C40=FALSE,"C"))))</f>
        <v/>
      </c>
      <c r="C40" s="5" t="b">
        <f>ISNUMBER(H40+0)</f>
        <v>1</v>
      </c>
      <c r="D40" s="15" t="str">
        <f>IF(COUNTIF($B$4:$B$7,"R")&gt;0,"",IF($H$38="Fax","R","Y"))</f>
        <v>Y</v>
      </c>
      <c r="E40" s="13"/>
      <c r="F40" s="15"/>
      <c r="G40" s="9" t="str">
        <f>IF($H$38="Fax","Fax Number for Receiving Orders:","")</f>
        <v/>
      </c>
      <c r="H40" s="25"/>
    </row>
    <row r="41" spans="2:8" ht="30" x14ac:dyDescent="0.25">
      <c r="B41" s="5" t="str">
        <f>IF(OR(Home!$D$7="",Home!$D$8="No"),"",IF(ISBLANK(HLOOKUP(Home!$D$7,$D$2:$F$102,ROW(A40),FALSE)),"",IF(H41="",HLOOKUP(Home!$D$7,$D$2:$F$102,ROW(A40),FALSE),IF(C41=FALSE,"C"))))</f>
        <v/>
      </c>
      <c r="C41" s="5" t="b">
        <v>1</v>
      </c>
      <c r="D41" s="15" t="str">
        <f>IF(COUNTIF($B$4:$B$7,"R")&gt;0,"",IF($H$5="Yes","Y","R"))</f>
        <v>R</v>
      </c>
      <c r="E41" s="15"/>
      <c r="F41" s="15"/>
      <c r="G41" s="9" t="s">
        <v>1048</v>
      </c>
      <c r="H41" s="25"/>
    </row>
    <row r="42" spans="2:8" x14ac:dyDescent="0.25">
      <c r="B42" s="5" t="str">
        <f>IF(OR(Home!$D$7="",Home!$D$8="No"),"",IF(ISBLANK(HLOOKUP(Home!$D$7,$D$2:$F$102,ROW(A41),FALSE)),"",IF(H42="",HLOOKUP(Home!$D$7,$D$2:$F$102,ROW(A41),FALSE),IF(C42=FALSE,"C"))))</f>
        <v/>
      </c>
      <c r="C42" s="5" t="b">
        <f>LEN(H42)&lt;=35</f>
        <v>1</v>
      </c>
      <c r="D42" s="15" t="str">
        <f>IF(COUNTIF($B$4:$B$7,"R")&gt;0,"",IF(OR($H$5="Yes",$H$41="Yes",$H$41=""),"Y","R"))</f>
        <v>Y</v>
      </c>
      <c r="E42" s="13"/>
      <c r="F42" s="15"/>
      <c r="G42" s="9" t="str">
        <f>IF($H$41="No","Address Line 1:","")</f>
        <v/>
      </c>
      <c r="H42" s="25"/>
    </row>
    <row r="43" spans="2:8" x14ac:dyDescent="0.25">
      <c r="B43" s="5" t="str">
        <f>IF(OR(Home!$D$7="",Home!$D$8="No"),"",IF(ISBLANK(HLOOKUP(Home!$D$7,$D$2:$F$102,ROW(A42),FALSE)),"",IF(H43="",HLOOKUP(Home!$D$7,$D$2:$F$102,ROW(A42),FALSE),IF(C43=FALSE,"C"))))</f>
        <v/>
      </c>
      <c r="C43" s="5" t="b">
        <f>LEN(H43)&lt;=35</f>
        <v>1</v>
      </c>
      <c r="D43" s="15" t="str">
        <f>IF(COUNTIF($B$4:$B$7,"R")&gt;0,"","Y")</f>
        <v>Y</v>
      </c>
      <c r="E43" s="13"/>
      <c r="F43" s="15"/>
      <c r="G43" s="9" t="str">
        <f>IF($H$41="No","Address Line 2:","")</f>
        <v/>
      </c>
      <c r="H43" s="25"/>
    </row>
    <row r="44" spans="2:8" x14ac:dyDescent="0.25">
      <c r="B44" s="5" t="str">
        <f>IF(OR(Home!$D$7="",Home!$D$8="No"),"",IF(ISBLANK(HLOOKUP(Home!$D$7,$D$2:$F$102,ROW(A43),FALSE)),"",IF(H44="",HLOOKUP(Home!$D$7,$D$2:$F$102,ROW(A43),FALSE),IF(C44=FALSE,"C"))))</f>
        <v/>
      </c>
      <c r="C44" s="5" t="b">
        <v>1</v>
      </c>
      <c r="D44" s="15" t="str">
        <f>IF(COUNTIF($B$4:$B$7,"R")&gt;0,"",IF(OR($H$5="Yes",$H$41="Yes",$H$41=""),"Y","R"))</f>
        <v>Y</v>
      </c>
      <c r="E44" s="13"/>
      <c r="F44" s="15"/>
      <c r="G44" s="9" t="str">
        <f>IF($H$41="No","City:","")</f>
        <v/>
      </c>
      <c r="H44" s="25"/>
    </row>
    <row r="45" spans="2:8" x14ac:dyDescent="0.25">
      <c r="B45" s="5" t="str">
        <f>IF(OR(Home!$D$7="",Home!$D$8="No"),"",IF(ISBLANK(HLOOKUP(Home!$D$7,$D$2:$F$102,ROW(A44),FALSE)),"",IF(H45="",HLOOKUP(Home!$D$7,$D$2:$F$102,ROW(A44),FALSE),IF(C45=FALSE,"C"))))</f>
        <v/>
      </c>
      <c r="C45" s="5" t="b">
        <v>1</v>
      </c>
      <c r="D45" s="15" t="str">
        <f>IF(COUNTIF($B$4:$B$7,"R")&gt;0,"",IF(OR($H$5="Yes",$H$41="Yes",$H$41=""),"Y","R"))</f>
        <v>Y</v>
      </c>
      <c r="E45" s="13"/>
      <c r="F45" s="15"/>
      <c r="G45" s="9" t="str">
        <f>IF($H$41="No","State:","")</f>
        <v/>
      </c>
      <c r="H45" s="25"/>
    </row>
    <row r="46" spans="2:8" x14ac:dyDescent="0.25">
      <c r="B46" s="5" t="str">
        <f>IF(OR(Home!$D$7="",Home!$D$8="No"),"",IF(ISBLANK(HLOOKUP(Home!$D$7,$D$2:$F$102,ROW(A45),FALSE)),"",IF(H46="",HLOOKUP(Home!$D$7,$D$2:$F$102,ROW(A45),FALSE),IF(C46=FALSE,"C"))))</f>
        <v/>
      </c>
      <c r="C46" s="5" t="b">
        <v>1</v>
      </c>
      <c r="D46" s="15" t="str">
        <f>IF(COUNTIF($B$4:$B$7,"R")&gt;0,"",IF(OR($H$5="Yes",$H$41="Yes",$H$41=""),"Y","R"))</f>
        <v>Y</v>
      </c>
      <c r="E46" s="13"/>
      <c r="F46" s="15"/>
      <c r="G46" s="9" t="str">
        <f>IF($H$41="No","ZIP Code:","")</f>
        <v/>
      </c>
      <c r="H46" s="25"/>
    </row>
    <row r="47" spans="2:8" x14ac:dyDescent="0.25">
      <c r="B47" s="5" t="str">
        <f>IF(OR(Home!$D$7="",Home!$D$8="No"),"",IF(ISBLANK(HLOOKUP(Home!$D$7,$D$2:$F$102,ROW(A46),FALSE)),"",IF(H47="",HLOOKUP(Home!$D$7,$D$2:$F$102,ROW(A46),FALSE),IF(C47=FALSE,"C"))))</f>
        <v/>
      </c>
      <c r="C47" s="5" t="b">
        <f>AND(ISNUMBER(H47+0),LEFT(H47,1)="1")</f>
        <v>0</v>
      </c>
      <c r="D47" s="15" t="str">
        <f>IF(COUNTIF($B$4:$B$7,"R")&gt;0,"",IF(OR($H$5="Yes",$H$41="Yes",$H$41=""),"Y","R"))</f>
        <v>Y</v>
      </c>
      <c r="E47" s="13"/>
      <c r="F47" s="15"/>
      <c r="G47" s="9" t="str">
        <f>IF($H$41="No","Phone:","")</f>
        <v/>
      </c>
      <c r="H47" s="25"/>
    </row>
    <row r="48" spans="2:8" ht="23.25" customHeight="1" x14ac:dyDescent="0.25">
      <c r="B48" s="5" t="str">
        <f>IF(OR(Home!$D$7="",Home!$D$8="No"),"",IF(ISBLANK(HLOOKUP(Home!$D$7,$D$2:$F$102,ROW(A47),FALSE)),"",IF(H48="",HLOOKUP(Home!$D$7,$D$2:$F$102,ROW(A47),FALSE),IF(C48=FALSE,"C"))))</f>
        <v/>
      </c>
      <c r="C48" s="5" t="b">
        <v>1</v>
      </c>
      <c r="D48" s="15" t="str">
        <f t="shared" ref="D48:E48" si="8">IF(COUNTIF($B$4:$B$7,"R")&gt;0,"","Y")</f>
        <v>Y</v>
      </c>
      <c r="E48" s="15" t="str">
        <f t="shared" si="8"/>
        <v>Y</v>
      </c>
      <c r="F48" s="15"/>
      <c r="G48" s="48" t="s">
        <v>80</v>
      </c>
      <c r="H48" s="58"/>
    </row>
    <row r="49" spans="2:8" ht="33.75" customHeight="1" x14ac:dyDescent="0.25">
      <c r="B49" s="5" t="str">
        <f>IF(OR(Home!$D$7="",Home!$D$8="No"),"",IF(ISBLANK(HLOOKUP(Home!$D$7,$D$2:$F$102,ROW(A48),FALSE)),"",IF(H49="",HLOOKUP(Home!$D$7,$D$2:$F$102,ROW(A48),FALSE),IF(C49=FALSE,"C"))))</f>
        <v/>
      </c>
      <c r="C49" s="5" t="b">
        <v>1</v>
      </c>
      <c r="D49" s="15" t="str">
        <f>IF(COUNTIF($B$4:$B$7,"R")&gt;0,"",IF($H$5="Yes","Y","R"))</f>
        <v>R</v>
      </c>
      <c r="E49" s="15" t="str">
        <f>IF(COUNTIF($B$4:$B$7,"R")&gt;0,"",IF($H$5="Yes","Y","R"))</f>
        <v>R</v>
      </c>
      <c r="F49" s="15"/>
      <c r="G49" s="9" t="s">
        <v>1049</v>
      </c>
      <c r="H49" s="25"/>
    </row>
    <row r="50" spans="2:8" x14ac:dyDescent="0.25">
      <c r="B50" s="5" t="str">
        <f>IF(OR(Home!$D$7="",Home!$D$8="No"),"",IF(ISBLANK(HLOOKUP(Home!$D$7,$D$2:$F$102,ROW(A49),FALSE)),"",IF(H50="",HLOOKUP(Home!$D$7,$D$2:$F$102,ROW(A49),FALSE),IF(C50=FALSE,"C"))))</f>
        <v/>
      </c>
      <c r="C50" s="5" t="b">
        <f>LEN(H50)&lt;=35</f>
        <v>1</v>
      </c>
      <c r="D50" s="15" t="str">
        <f>IF(COUNTIF($B$4:$B$7,"R")&gt;0,"",IF(OR($H$5="Yes",$H$49="Yes",$H$49=""),"Y","R"))</f>
        <v>Y</v>
      </c>
      <c r="E50" s="15" t="str">
        <f>IF(COUNTIF($B$4:$B$7,"R")&gt;0,"",IF(OR($H$5="Yes",$H$49="Yes",$H$49=""),"Y","R"))</f>
        <v>Y</v>
      </c>
      <c r="F50" s="15"/>
      <c r="G50" s="9" t="str">
        <f>IF($H$49="No","Address Line 1:","")</f>
        <v/>
      </c>
      <c r="H50" s="25"/>
    </row>
    <row r="51" spans="2:8" x14ac:dyDescent="0.25">
      <c r="B51" s="5" t="str">
        <f>IF(OR(Home!$D$7="",Home!$D$8="No"),"",IF(ISBLANK(HLOOKUP(Home!$D$7,$D$2:$F$102,ROW(A50),FALSE)),"",IF(H51="",HLOOKUP(Home!$D$7,$D$2:$F$102,ROW(A50),FALSE),IF(C51=FALSE,"C"))))</f>
        <v/>
      </c>
      <c r="C51" s="5" t="b">
        <f>LEN(H51)&lt;=35</f>
        <v>1</v>
      </c>
      <c r="D51" s="15" t="str">
        <f t="shared" ref="D51:E51" si="9">IF(COUNTIF($B$4:$B$7,"R")&gt;0,"","Y")</f>
        <v>Y</v>
      </c>
      <c r="E51" s="15" t="str">
        <f t="shared" si="9"/>
        <v>Y</v>
      </c>
      <c r="F51" s="15"/>
      <c r="G51" s="9" t="str">
        <f>IF($H$49="No","Address Line 2:","")</f>
        <v/>
      </c>
      <c r="H51" s="25"/>
    </row>
    <row r="52" spans="2:8" x14ac:dyDescent="0.25">
      <c r="B52" s="5" t="str">
        <f>IF(OR(Home!$D$7="",Home!$D$8="No"),"",IF(ISBLANK(HLOOKUP(Home!$D$7,$D$2:$F$102,ROW(A51),FALSE)),"",IF(H52="",HLOOKUP(Home!$D$7,$D$2:$F$102,ROW(A51),FALSE),IF(C52=FALSE,"C"))))</f>
        <v/>
      </c>
      <c r="C52" s="5" t="b">
        <v>1</v>
      </c>
      <c r="D52" s="15" t="str">
        <f t="shared" ref="D52:E56" si="10">IF(COUNTIF($B$4:$B$7,"R")&gt;0,"",IF(OR($H$5="Yes",$H$49="Yes",$H$49=""),"Y","R"))</f>
        <v>Y</v>
      </c>
      <c r="E52" s="15" t="str">
        <f t="shared" si="10"/>
        <v>Y</v>
      </c>
      <c r="F52" s="15"/>
      <c r="G52" s="9" t="str">
        <f>IF($H$49="No","City:","")</f>
        <v/>
      </c>
      <c r="H52" s="25"/>
    </row>
    <row r="53" spans="2:8" x14ac:dyDescent="0.25">
      <c r="B53" s="5" t="str">
        <f>IF(OR(Home!$D$7="",Home!$D$8="No"),"",IF(ISBLANK(HLOOKUP(Home!$D$7,$D$2:$F$102,ROW(A52),FALSE)),"",IF(H53="",HLOOKUP(Home!$D$7,$D$2:$F$102,ROW(A52),FALSE),IF(C53=FALSE,"C"))))</f>
        <v/>
      </c>
      <c r="C53" s="5" t="b">
        <v>1</v>
      </c>
      <c r="D53" s="15" t="str">
        <f t="shared" si="10"/>
        <v>Y</v>
      </c>
      <c r="E53" s="15" t="str">
        <f t="shared" si="10"/>
        <v>Y</v>
      </c>
      <c r="F53" s="15"/>
      <c r="G53" s="9" t="str">
        <f>IF($H$49="No","State:","")</f>
        <v/>
      </c>
      <c r="H53" s="25"/>
    </row>
    <row r="54" spans="2:8" x14ac:dyDescent="0.25">
      <c r="B54" s="5" t="str">
        <f>IF(OR(Home!$D$7="",Home!$D$8="No"),"",IF(ISBLANK(HLOOKUP(Home!$D$7,$D$2:$F$102,ROW(A53),FALSE)),"",IF(H54="",HLOOKUP(Home!$D$7,$D$2:$F$102,ROW(A53),FALSE),IF(C54=FALSE,"C"))))</f>
        <v/>
      </c>
      <c r="C54" s="5" t="b">
        <v>1</v>
      </c>
      <c r="D54" s="15" t="str">
        <f t="shared" si="10"/>
        <v>Y</v>
      </c>
      <c r="E54" s="15" t="str">
        <f t="shared" si="10"/>
        <v>Y</v>
      </c>
      <c r="F54" s="15"/>
      <c r="G54" s="9" t="str">
        <f>IF($H$49="No","ZIP Code:","")</f>
        <v/>
      </c>
      <c r="H54" s="25"/>
    </row>
    <row r="55" spans="2:8" x14ac:dyDescent="0.25">
      <c r="B55" s="5" t="str">
        <f>IF(OR(Home!$D$7="",Home!$D$8="No"),"",IF(ISBLANK(HLOOKUP(Home!$D$7,$D$2:$F$102,ROW(A54),FALSE)),"",IF(H55="",HLOOKUP(Home!$D$7,$D$2:$F$102,ROW(A54),FALSE),IF(C55=FALSE,"C"))))</f>
        <v/>
      </c>
      <c r="C55" s="5" t="b">
        <f>AND(ISNUMBER(H55+0),LEFT(H55,1)="1")</f>
        <v>0</v>
      </c>
      <c r="D55" s="15" t="str">
        <f t="shared" si="10"/>
        <v>Y</v>
      </c>
      <c r="E55" s="15" t="str">
        <f t="shared" si="10"/>
        <v>Y</v>
      </c>
      <c r="F55" s="15"/>
      <c r="G55" s="9" t="str">
        <f>IF($H$49="No","Phone:","")</f>
        <v/>
      </c>
      <c r="H55" s="25"/>
    </row>
    <row r="56" spans="2:8" x14ac:dyDescent="0.25">
      <c r="B56" s="5" t="str">
        <f>IF(OR(Home!$D$7="",Home!$D$8="No"),"",IF(ISBLANK(HLOOKUP(Home!$D$7,$D$2:$F$102,ROW(A55),FALSE)),"",IF(H56="",HLOOKUP(Home!$D$7,$D$2:$F$102,ROW(A55),FALSE),IF(C56=FALSE,"C"))))</f>
        <v/>
      </c>
      <c r="C56" s="5" t="b">
        <f>IF(H56="",TRUE,ISNUMBER(FIND("@",H56,1)+FIND(".",H56,1)))</f>
        <v>1</v>
      </c>
      <c r="D56" s="15" t="str">
        <f t="shared" si="10"/>
        <v>Y</v>
      </c>
      <c r="E56" s="15" t="str">
        <f t="shared" si="10"/>
        <v>Y</v>
      </c>
      <c r="F56" s="15"/>
      <c r="G56" s="9" t="str">
        <f>IF($H$49="No","Email:","")</f>
        <v/>
      </c>
      <c r="H56" s="25"/>
    </row>
    <row r="57" spans="2:8" ht="23.25" customHeight="1" x14ac:dyDescent="0.25">
      <c r="B57" s="5" t="str">
        <f>IF(OR(Home!$D$7="",Home!$D$8="No"),"",IF(ISBLANK(HLOOKUP(Home!$D$7,$D$2:$F$102,ROW(A56),FALSE)),"",IF(H57="",HLOOKUP(Home!$D$7,$D$2:$F$102,ROW(A56),FALSE),IF(C57=FALSE,"C"))))</f>
        <v/>
      </c>
      <c r="C57" s="5" t="b">
        <v>1</v>
      </c>
      <c r="D57" s="15" t="str">
        <f t="shared" ref="D57:E58" si="11">IF(COUNTIF($B$4:$B$7,"R")&gt;0,"","Y")</f>
        <v>Y</v>
      </c>
      <c r="E57" s="15" t="str">
        <f t="shared" si="11"/>
        <v>Y</v>
      </c>
      <c r="F57" s="15" t="s">
        <v>22</v>
      </c>
      <c r="G57" s="48" t="s">
        <v>12</v>
      </c>
      <c r="H57" s="58"/>
    </row>
    <row r="58" spans="2:8" x14ac:dyDescent="0.25">
      <c r="B58" s="5" t="str">
        <f>IF(OR(Home!$D$7="",Home!$D$8="No"),"",IF(ISBLANK(HLOOKUP(Home!$D$7,$D$2:$F$102,ROW(A57),FALSE)),"",IF(H58="",HLOOKUP(Home!$D$7,$D$2:$F$102,ROW(A57),FALSE),IF(C58=FALSE,"C"))))</f>
        <v/>
      </c>
      <c r="C58" s="5" t="b">
        <v>1</v>
      </c>
      <c r="D58" s="15" t="str">
        <f t="shared" si="11"/>
        <v>Y</v>
      </c>
      <c r="E58" s="15" t="str">
        <f t="shared" si="11"/>
        <v>Y</v>
      </c>
      <c r="F58" s="15" t="s">
        <v>22</v>
      </c>
      <c r="G58" s="59" t="s">
        <v>18</v>
      </c>
      <c r="H58" s="60"/>
    </row>
    <row r="59" spans="2:8" ht="45" x14ac:dyDescent="0.25">
      <c r="B59" s="5" t="str">
        <f>IF(OR(Home!$D$7="",Home!$D$8="No"),"",IF(ISBLANK(HLOOKUP(Home!$D$7,$D$2:$F$102,ROW(A58),FALSE)),"",IF(H59="",HLOOKUP(Home!$D$7,$D$2:$F$102,ROW(A58),FALSE),IF(C59=FALSE,"C"))))</f>
        <v/>
      </c>
      <c r="C59" s="5" t="b">
        <v>1</v>
      </c>
      <c r="D59" s="15" t="str">
        <f t="shared" ref="D59:E64" si="12">IF(COUNTIF($B$4:$B$7,"R")&gt;0,"",IF($H$5="Yes","Y","R"))</f>
        <v>R</v>
      </c>
      <c r="E59" s="15" t="str">
        <f t="shared" si="12"/>
        <v>R</v>
      </c>
      <c r="F59" s="15" t="s">
        <v>14</v>
      </c>
      <c r="G59" s="9" t="s">
        <v>13</v>
      </c>
      <c r="H59" s="25"/>
    </row>
    <row r="60" spans="2:8" ht="90" x14ac:dyDescent="0.25">
      <c r="B60" s="5" t="str">
        <f>IF(OR(Home!$D$7="",Home!$D$8="No"),"",IF(ISBLANK(HLOOKUP(Home!$D$7,$D$2:$F$102,ROW(A59),FALSE)),"",IF(H60="",HLOOKUP(Home!$D$7,$D$2:$F$102,ROW(A59),FALSE),IF(C60=FALSE,"C"))))</f>
        <v/>
      </c>
      <c r="C60" s="5" t="b">
        <v>1</v>
      </c>
      <c r="D60" s="15" t="str">
        <f t="shared" si="12"/>
        <v>R</v>
      </c>
      <c r="E60" s="15" t="str">
        <f t="shared" si="12"/>
        <v>R</v>
      </c>
      <c r="F60" s="15" t="s">
        <v>14</v>
      </c>
      <c r="G60" s="9" t="s">
        <v>1053</v>
      </c>
      <c r="H60" s="25"/>
    </row>
    <row r="61" spans="2:8" ht="45" x14ac:dyDescent="0.25">
      <c r="B61" s="5" t="str">
        <f>IF(OR(Home!$D$7="",Home!$D$8="No"),"",IF(ISBLANK(HLOOKUP(Home!$D$7,$D$2:$F$102,ROW(A60),FALSE)),"",IF(H61="",HLOOKUP(Home!$D$7,$D$2:$F$102,ROW(A60),FALSE),IF(C61=FALSE,"C"))))</f>
        <v/>
      </c>
      <c r="C61" s="5" t="b">
        <v>1</v>
      </c>
      <c r="D61" s="15" t="str">
        <f t="shared" si="12"/>
        <v>R</v>
      </c>
      <c r="E61" s="15"/>
      <c r="F61" s="15"/>
      <c r="G61" s="9" t="s">
        <v>1052</v>
      </c>
      <c r="H61" s="25"/>
    </row>
    <row r="62" spans="2:8" ht="90" x14ac:dyDescent="0.25">
      <c r="B62" s="5" t="str">
        <f>IF(OR(Home!$D$7="",Home!$D$8="No"),"",IF(ISBLANK(HLOOKUP(Home!$D$7,$D$2:$F$102,ROW(A61),FALSE)),"",IF(H62="",HLOOKUP(Home!$D$7,$D$2:$F$102,ROW(A61),FALSE),IF(C62=FALSE,"C"))))</f>
        <v/>
      </c>
      <c r="C62" s="5" t="b">
        <v>1</v>
      </c>
      <c r="D62" s="15" t="str">
        <f t="shared" si="12"/>
        <v>R</v>
      </c>
      <c r="E62" s="15"/>
      <c r="F62" s="15"/>
      <c r="G62" s="9" t="s">
        <v>96</v>
      </c>
      <c r="H62" s="25"/>
    </row>
    <row r="63" spans="2:8" x14ac:dyDescent="0.25">
      <c r="B63" s="5" t="str">
        <f>IF(OR(Home!$D$7="",Home!$D$8="No"),"",IF(ISBLANK(HLOOKUP(Home!$D$7,$D$2:$F$102,ROW(A62),FALSE)),"",IF(H63="",HLOOKUP(Home!$D$7,$D$2:$F$102,ROW(A62),FALSE),IF(C63=FALSE,"C"))))</f>
        <v/>
      </c>
      <c r="C63" s="5" t="b">
        <v>1</v>
      </c>
      <c r="D63" s="15" t="str">
        <f t="shared" si="12"/>
        <v>R</v>
      </c>
      <c r="E63" s="15" t="str">
        <f t="shared" si="12"/>
        <v>R</v>
      </c>
      <c r="F63" s="15"/>
      <c r="G63" s="9" t="str">
        <f>IF(Home!$D$7="Company","5. Are you or any Officer, Owner or Partner in this company an employee of Emory University?",IF(Home!$D$7="Individual","5. Are you an employee of Emory University?",""))</f>
        <v/>
      </c>
      <c r="H63" s="25"/>
    </row>
    <row r="64" spans="2:8" ht="76.150000000000006" customHeight="1" x14ac:dyDescent="0.25">
      <c r="B64" s="5" t="str">
        <f>IF(OR(Home!$D$7="",Home!$D$8="No"),"",IF(ISBLANK(HLOOKUP(Home!$D$7,$D$2:$F$102,ROW(A63),FALSE)),"",IF(H64="",HLOOKUP(Home!$D$7,$D$2:$F$102,ROW(A63),FALSE),IF(C64=FALSE,"C"))))</f>
        <v/>
      </c>
      <c r="C64" s="5" t="b">
        <v>1</v>
      </c>
      <c r="D64" s="15" t="str">
        <f t="shared" si="12"/>
        <v>R</v>
      </c>
      <c r="E64" s="15" t="str">
        <f t="shared" si="12"/>
        <v>R</v>
      </c>
      <c r="F64" s="15"/>
      <c r="G64" s="35"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4" s="25"/>
    </row>
    <row r="65" spans="2:8" ht="30.75" customHeight="1" x14ac:dyDescent="0.25">
      <c r="B65" s="5" t="str">
        <f>IF(OR(Home!$D$7="",Home!$D$8="No"),"",IF(ISBLANK(HLOOKUP(Home!$D$7,$D$2:$F$102,ROW(A64),FALSE)),"",IF(H65="",HLOOKUP(Home!$D$7,$D$2:$F$102,ROW(A64),FALSE),IF(C65=FALSE,"C"))))</f>
        <v/>
      </c>
      <c r="C65" s="5" t="b">
        <v>1</v>
      </c>
      <c r="D65" s="15" t="str">
        <f>IF(COUNTIF($B$4:$B$7,"R")&gt;0,"",IF($H$64="Yes","R","Y"))</f>
        <v>Y</v>
      </c>
      <c r="E65" s="15" t="str">
        <f>IF(COUNTIF($B$4:$B$7,"R")&gt;0,"",IF($H$64="Yes","R","Y"))</f>
        <v>Y</v>
      </c>
      <c r="F65" s="15"/>
      <c r="G65" s="9" t="str">
        <f>IF($H$64="Yes","6a. Please provide the name of the direct family member who is an Emory University employee:","")</f>
        <v/>
      </c>
      <c r="H65" s="25"/>
    </row>
    <row r="66" spans="2:8" ht="30.75" customHeight="1" x14ac:dyDescent="0.25">
      <c r="B66" s="5" t="str">
        <f>IF(OR(Home!$D$7="",Home!$D$8="No"),"",IF(ISBLANK(HLOOKUP(Home!$D$7,$D$2:$F$102,ROW(A65),FALSE)),"",IF(H66="",HLOOKUP(Home!$D$7,$D$2:$F$102,ROW(A65),FALSE),IF(C66=FALSE,"C"))))</f>
        <v/>
      </c>
      <c r="C66" s="5" t="b">
        <v>1</v>
      </c>
      <c r="D66" s="15" t="str">
        <f>IF(COUNTIF($B$4:$B$7,"R")&gt;0,"",IF($H$64="Yes","R","Y"))</f>
        <v>Y</v>
      </c>
      <c r="E66" s="15" t="str">
        <f>IF(COUNTIF($B$4:$B$7,"R")&gt;0,"",IF($H$64="Yes","R","Y"))</f>
        <v>Y</v>
      </c>
      <c r="F66" s="15"/>
      <c r="G66" s="9" t="str">
        <f>IF($H$64="Yes","6b. Please provide the relationship of the direct family member to the Emory University Employee:","")</f>
        <v/>
      </c>
      <c r="H66" s="25"/>
    </row>
    <row r="67" spans="2:8" ht="75" x14ac:dyDescent="0.25">
      <c r="B67" s="5" t="str">
        <f>IF(OR(Home!$D$7="",Home!$D$8="No"),"",IF(ISBLANK(HLOOKUP(Home!$D$7,$D$2:$F$102,ROW(A66),FALSE)),"",IF(H67="",HLOOKUP(Home!$D$7,$D$2:$F$102,ROW(A66),FALSE),IF(C67=FALSE,"C"))))</f>
        <v/>
      </c>
      <c r="C67" s="5" t="b">
        <v>1</v>
      </c>
      <c r="D67" s="15" t="str">
        <f>IF(COUNTIF($B$4:$B$7,"R")&gt;0,"",IF($H$5="Yes","Y","R"))</f>
        <v>R</v>
      </c>
      <c r="E67" s="13"/>
      <c r="F67" s="15"/>
      <c r="G67" s="9" t="s">
        <v>1047</v>
      </c>
      <c r="H67" s="25"/>
    </row>
    <row r="68" spans="2:8" ht="45.75" customHeight="1" x14ac:dyDescent="0.25">
      <c r="B68" s="5" t="str">
        <f>IF(OR(Home!$D$7="",Home!$D$8="No"),"",IF(ISBLANK(HLOOKUP(Home!$D$7,$D$2:$F$102,ROW(A67),FALSE)),"",IF(H68="",HLOOKUP(Home!$D$7,$D$2:$F$102,ROW(A67),FALSE),IF(C68=FALSE,"C"))))</f>
        <v/>
      </c>
      <c r="C68" s="5" t="b">
        <f>IF(H68="",TRUE,ISNUMBER(FIND("@",H68,1)+FIND(".",H68,1)))</f>
        <v>1</v>
      </c>
      <c r="D68" s="15" t="str">
        <f>IF(COUNTIF($B$4:$B$7,"R")&gt;0,"",IF($H$67='Drop Down'!$D$2,"R","Y"))</f>
        <v>Y</v>
      </c>
      <c r="E68" s="13"/>
      <c r="F68" s="15"/>
      <c r="G68" s="9" t="str">
        <f>IF($H$67='Drop Down'!$D$2,"7a. Please provide the email address where you would want us to send the notification of our payment to you for SUA Payments.","")</f>
        <v/>
      </c>
      <c r="H68" s="26"/>
    </row>
    <row r="69" spans="2:8" ht="29.45" customHeight="1" x14ac:dyDescent="0.25">
      <c r="B69" s="5" t="str">
        <f>IF(OR(Home!$D$7="",Home!$D$8="No"),"",IF(ISBLANK(HLOOKUP(Home!$D$7,$D$2:$F$102,ROW(A68),FALSE)),"",IF(H69="",HLOOKUP(Home!$D$7,$D$2:$F$102,ROW(A68),FALSE),IF(C69=FALSE,"C"))))</f>
        <v/>
      </c>
      <c r="C69" s="5" t="b">
        <v>1</v>
      </c>
      <c r="D69" s="15" t="str">
        <f>IF(COUNTIF($B$4:$B$7,"R")&gt;0,"",IF($H$67='Drop Down'!$D$5,"R","Y"))</f>
        <v>Y</v>
      </c>
      <c r="E69" s="13"/>
      <c r="F69" s="15"/>
      <c r="G69" s="9" t="str">
        <f>IF($H$67='Drop Down'!$D$5,"7b. Please specify the payment terms that is stated in the contract with Emory.","")</f>
        <v/>
      </c>
      <c r="H69" s="37"/>
    </row>
    <row r="70" spans="2:8" ht="44.45" customHeight="1" x14ac:dyDescent="0.25">
      <c r="B70" s="5" t="str">
        <f>IF(OR(Home!$D$7="",Home!$D$8="No"),"",IF(ISBLANK(HLOOKUP(Home!$D$7,$D$2:$F$102,ROW(A69),FALSE)),"",IF(H70="",HLOOKUP(Home!$D$7,$D$2:$F$102,ROW(A69),FALSE),IF(C70=FALSE,"C"))))</f>
        <v/>
      </c>
      <c r="C70" s="5" t="b">
        <v>1</v>
      </c>
      <c r="D70" s="15" t="str">
        <f>IF(COUNTIF($B$4:$B$7,"R")&gt;0,"",IF($H$67='Drop Down'!$D$5,"R","Y"))</f>
        <v>Y</v>
      </c>
      <c r="E70" s="13"/>
      <c r="F70" s="15"/>
      <c r="G70" s="9" t="str">
        <f>IF($H$67='Drop Down'!$D$5,"7c. When submitting this form, please validate you will submit a copy of the fully executed contract containing the payment term language.","")</f>
        <v/>
      </c>
      <c r="H70" s="37"/>
    </row>
    <row r="71" spans="2:8" ht="31.15" customHeight="1" x14ac:dyDescent="0.25">
      <c r="B71" s="5" t="str">
        <f>IF(OR(Home!$D$7="",Home!$D$8="No"),"",IF(ISBLANK(HLOOKUP(Home!$D$7,$D$2:$F$102,ROW(A70),FALSE)),"",IF(H71="",HLOOKUP(Home!$D$7,$D$2:$F$102,ROW(A70),FALSE),IF(C71=FALSE,"C"))))</f>
        <v/>
      </c>
      <c r="C71" s="5" t="b">
        <v>1</v>
      </c>
      <c r="D71" s="15" t="str">
        <f>IF(COUNTIF($B$4:$B$7,"R")&gt;0,"",IF($H$67='Drop Down'!$D$5,"R","Y"))</f>
        <v>Y</v>
      </c>
      <c r="E71" s="13"/>
      <c r="F71" s="15"/>
      <c r="G71" s="9" t="str">
        <f>IF($H$67='Drop Down'!$D$5,"7d. Please indicate what page number within the fully executed contract, the payment terms can be found.","")</f>
        <v/>
      </c>
      <c r="H71" s="36"/>
    </row>
    <row r="72" spans="2:8" ht="77.25" customHeight="1" x14ac:dyDescent="0.25">
      <c r="B72" s="5" t="str">
        <f>IF(OR(Home!$D$7="",Home!$D$8="No"),"",IF(ISBLANK(HLOOKUP(Home!$D$7,$D$2:$F$102,ROW(A71),FALSE)),"",IF(H72="",HLOOKUP(Home!$D$7,$D$2:$F$102,ROW(A71),FALSE),IF(C72=FALSE,"C"))))</f>
        <v/>
      </c>
      <c r="C72" s="5" t="b">
        <v>1</v>
      </c>
      <c r="D72" s="15" t="str">
        <f>IF(COUNTIF($B$4:$B$7,"R")&gt;0,"",IF(OR($H$5="Yes",$H$67="",RIGHT($H$67,8)="Program."),"Y","R"))</f>
        <v>Y</v>
      </c>
      <c r="E72" s="15" t="str">
        <f t="shared" ref="E72" si="13">IF(COUNTIF($B$4:$B$7,"R")&gt;0,"",IF($H$5="Yes","Y","R"))</f>
        <v>R</v>
      </c>
      <c r="F72" s="15" t="s">
        <v>14</v>
      </c>
      <c r="G72" s="9" t="str">
        <f>IF(AND(Home!$D$7="Company",OR($H$67="",RIGHT($H$67,8)="Program.")),"",CONCATENATE("8. Do you want to be paid via ACH/Direct Deposit? If No is selected, payment will be remitted via check sent to the billing address provided above."," Please note that payments via check take significantly longer to process in comparision to ACH/Direct Deposit."))</f>
        <v>8. Do you want to be paid via ACH/Direct Deposit? If No is selected, payment will be remitted via check sent to the billing address provided above. Please note that payments via check take significantly longer to process in comparision to ACH/Direct Deposit.</v>
      </c>
      <c r="H72" s="25"/>
    </row>
    <row r="73" spans="2:8" ht="90" x14ac:dyDescent="0.25">
      <c r="B73" s="5" t="str">
        <f>IF(OR(Home!$D$7="",Home!$D$8="No"),"",IF(ISBLANK(HLOOKUP(Home!$D$7,$D$2:$F$102,ROW(A72),FALSE)),"",IF(H73="",HLOOKUP(Home!$D$7,$D$2:$F$102,ROW(A72),FALSE),IF(C73=FALSE,"C"))))</f>
        <v/>
      </c>
      <c r="C73" s="5" t="b">
        <v>1</v>
      </c>
      <c r="D73" s="15" t="str">
        <f>IF(COUNTIF($B$4:$B$7,"R")&gt;0,"",IF($H$5="Yes","Y","R"))</f>
        <v>R</v>
      </c>
      <c r="E73" s="13"/>
      <c r="F73" s="15"/>
      <c r="G73" s="9" t="s">
        <v>1046</v>
      </c>
      <c r="H73" s="25"/>
    </row>
    <row r="74" spans="2:8" ht="45" x14ac:dyDescent="0.25">
      <c r="B74" s="5" t="str">
        <f>IF(OR(Home!$D$7="",Home!$D$8="No"),"",IF(ISBLANK(HLOOKUP(Home!$D$7,$D$2:$F$102,ROW(A73),FALSE)),"",IF(H74="",HLOOKUP(Home!$D$7,$D$2:$F$102,ROW(A73),FALSE),IF(C74=FALSE,"C"))))</f>
        <v/>
      </c>
      <c r="C74" s="5" t="b">
        <v>1</v>
      </c>
      <c r="D74" s="15" t="str">
        <f t="shared" ref="D74:E76" si="14">IF(COUNTIF($B$4:$B$7,"R")&gt;0,"",IF($H$5="Yes","Y","R"))</f>
        <v>R</v>
      </c>
      <c r="E74" s="15" t="str">
        <f t="shared" si="14"/>
        <v>R</v>
      </c>
      <c r="F74" s="15" t="s">
        <v>14</v>
      </c>
      <c r="G74" s="9" t="s">
        <v>82</v>
      </c>
      <c r="H74" s="25"/>
    </row>
    <row r="75" spans="2:8" ht="155.25" customHeight="1" x14ac:dyDescent="0.25">
      <c r="B75" s="5" t="str">
        <f>IF(OR(Home!$D$7="",Home!$D$8="No"),"",IF(ISBLANK(HLOOKUP(Home!$D$7,$D$2:$F$102,ROW(A74),FALSE)),"",IF(H75="",HLOOKUP(Home!$D$7,$D$2:$F$102,ROW(A74),FALSE),IF(C75=FALSE,"C"))))</f>
        <v/>
      </c>
      <c r="C75" s="1" t="b">
        <v>1</v>
      </c>
      <c r="D75" s="15" t="str">
        <f t="shared" si="14"/>
        <v>R</v>
      </c>
      <c r="E75" s="15" t="str">
        <f t="shared" si="14"/>
        <v>R</v>
      </c>
      <c r="F75" s="15" t="s">
        <v>14</v>
      </c>
      <c r="G75"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5" s="32"/>
    </row>
    <row r="76" spans="2:8" ht="19.5" customHeight="1" x14ac:dyDescent="0.25">
      <c r="B76" s="5" t="str">
        <f>IF(OR(Home!$D$7="",Home!$D$8="No"),"",IF(ISBLANK(HLOOKUP(Home!$D$7,$D$2:$F$102,ROW(A75),FALSE)),"",IF(H76="",HLOOKUP(Home!$D$7,$D$2:$F$102,ROW(A75),FALSE),IF(C76=FALSE,"C"))))</f>
        <v/>
      </c>
      <c r="C76" s="5" t="b">
        <v>1</v>
      </c>
      <c r="D76" s="15" t="str">
        <f t="shared" si="14"/>
        <v>R</v>
      </c>
      <c r="E76" s="15" t="str">
        <f t="shared" si="14"/>
        <v>R</v>
      </c>
      <c r="F76" s="15" t="s">
        <v>14</v>
      </c>
      <c r="G76" s="9" t="s">
        <v>101</v>
      </c>
      <c r="H76" s="27"/>
    </row>
    <row r="77" spans="2:8" ht="15" customHeight="1" x14ac:dyDescent="0.25">
      <c r="B77" s="5" t="str">
        <f>IF(OR(Home!$D$7="",Home!$D$8="No"),"",IF(ISBLANK(HLOOKUP(Home!$D$7,$D$2:$F$102,ROW(A76),FALSE)),"",IF(H77="",HLOOKUP(Home!$D$7,$D$2:$F$102,ROW(A76),FALSE),IF(C77=FALSE,"C"))))</f>
        <v/>
      </c>
      <c r="C77" s="5" t="b">
        <v>1</v>
      </c>
      <c r="D77" s="15" t="str">
        <f t="shared" ref="D77:E77" si="15">IF(COUNTIF($B$4:$B$7,"R")&gt;0,"","Y")</f>
        <v>Y</v>
      </c>
      <c r="E77" s="15" t="str">
        <f t="shared" si="15"/>
        <v>Y</v>
      </c>
      <c r="F77" s="15" t="s">
        <v>22</v>
      </c>
      <c r="G77" s="48"/>
      <c r="H77" s="58"/>
    </row>
    <row r="78" spans="2:8" ht="26.25" x14ac:dyDescent="0.25">
      <c r="B78" s="5" t="str">
        <f>IF(OR(Home!$D$7="",Home!$D$8="No"),"",IF(ISBLANK(HLOOKUP(Home!$D$7,$D$2:$F$102,ROW(A77),FALSE)),"",IF(H78="",HLOOKUP(Home!$D$7,$D$2:$F$102,ROW(A77),FALSE),IF(C78=FALSE,"C"))))</f>
        <v/>
      </c>
      <c r="C78" s="1" t="b">
        <v>1</v>
      </c>
      <c r="D78" s="16" t="str">
        <f t="shared" ref="D78:F79" si="16">IF(COUNTIF($B$4:$B$7,"R")&gt;0,"",IF(OR($H$5="Yes",$H$72="Yes"),"Y",""))</f>
        <v/>
      </c>
      <c r="E78" s="16" t="str">
        <f t="shared" si="16"/>
        <v/>
      </c>
      <c r="F78" s="16" t="str">
        <f t="shared" si="16"/>
        <v/>
      </c>
      <c r="G78" s="51" t="s">
        <v>95</v>
      </c>
      <c r="H78" s="51"/>
    </row>
    <row r="79" spans="2:8" x14ac:dyDescent="0.25">
      <c r="B79" s="5" t="str">
        <f>IF(OR(Home!$D$7="",Home!$D$8="No"),"",IF(ISBLANK(HLOOKUP(Home!$D$7,$D$2:$F$102,ROW(A78),FALSE)),"",IF(H79="",HLOOKUP(Home!$D$7,$D$2:$F$102,ROW(A78),FALSE),IF(C79=FALSE,"C"))))</f>
        <v/>
      </c>
      <c r="C79" s="1" t="b">
        <v>1</v>
      </c>
      <c r="D79" s="16" t="str">
        <f t="shared" si="16"/>
        <v/>
      </c>
      <c r="E79" s="16" t="str">
        <f t="shared" si="16"/>
        <v/>
      </c>
      <c r="F79" s="16" t="str">
        <f t="shared" si="16"/>
        <v/>
      </c>
      <c r="G79" s="52" t="str">
        <f>Home!D7&amp;" Information"</f>
        <v xml:space="preserve"> Information</v>
      </c>
      <c r="H79" s="53"/>
    </row>
    <row r="80" spans="2:8" x14ac:dyDescent="0.25">
      <c r="B80" s="5" t="str">
        <f>IF(OR(Home!$D$7="",Home!$D$8="No"),"",IF(ISBLANK(HLOOKUP(Home!$D$7,$D$2:$F$102,ROW(A79),FALSE)),"",IF(H80="",HLOOKUP(Home!$D$7,$D$2:$F$102,ROW(A79),FALSE),IF(C80=FALSE,"C"))))</f>
        <v/>
      </c>
      <c r="C80" s="1" t="b">
        <v>1</v>
      </c>
      <c r="D80" s="16" t="str">
        <f>IF(COUNTIF($B$4:$B$7,"R")&gt;0,"",IF(OR($H$5="Yes",$H$72="Yes"),"R",""))</f>
        <v/>
      </c>
      <c r="E80" s="16" t="str">
        <f>IF(COUNTIF($B$4:$B$7,"R")&gt;0,"",IF(OR($H$5="Yes",$H$72="Yes"),"R",""))</f>
        <v/>
      </c>
      <c r="F80" s="16" t="str">
        <f>IF(COUNTIF($B$4:$B$7,"R")&gt;0,"",IF(OR($H$5="Yes",$H$72="Yes"),"R",""))</f>
        <v/>
      </c>
      <c r="G80" s="3" t="str">
        <f>Home!D7&amp;" Name:"</f>
        <v xml:space="preserve"> Name:</v>
      </c>
      <c r="H80" s="25"/>
    </row>
    <row r="81" spans="2:8" x14ac:dyDescent="0.25">
      <c r="B81" s="5" t="str">
        <f>IF(OR(Home!$D$7="",Home!$D$8="No"),"",IF(ISBLANK(HLOOKUP(Home!$D$7,$D$2:$F$102,ROW(A80),FALSE)),"",IF(H81="",HLOOKUP(Home!$D$7,$D$2:$F$102,ROW(A80),FALSE),IF(C81=FALSE,"C"))))</f>
        <v/>
      </c>
      <c r="C81" s="1" t="b">
        <v>1</v>
      </c>
      <c r="D81" s="16" t="str">
        <f t="shared" ref="D81:D86" si="17">IF(COUNTIF($B$4:$B$7,"R")&gt;0,"",IF(OR($H$5="Yes",$H$72="Yes"),"R",""))</f>
        <v/>
      </c>
      <c r="E81" s="14"/>
      <c r="F81" s="14"/>
      <c r="G81" s="3" t="str">
        <f>Home!D7&amp;" Division Name:"</f>
        <v xml:space="preserve"> Division Name:</v>
      </c>
      <c r="H81" s="25"/>
    </row>
    <row r="82" spans="2:8" x14ac:dyDescent="0.25">
      <c r="B82" s="5" t="str">
        <f>IF(OR(Home!$D$7="",Home!$D$8="No"),"",IF(ISBLANK(HLOOKUP(Home!$D$7,$D$2:$F$102,ROW(A81),FALSE)),"",IF(H82="",HLOOKUP(Home!$D$7,$D$2:$F$102,ROW(A81),FALSE),IF(C82=FALSE,"C"))))</f>
        <v/>
      </c>
      <c r="C82" s="5" t="b">
        <f>ISNUMBER(H82+0)</f>
        <v>1</v>
      </c>
      <c r="D82" s="16" t="str">
        <f t="shared" si="17"/>
        <v/>
      </c>
      <c r="E82" s="13"/>
      <c r="F82" s="13"/>
      <c r="G82" s="9" t="s">
        <v>15</v>
      </c>
      <c r="H82" s="25"/>
    </row>
    <row r="83" spans="2:8" x14ac:dyDescent="0.25">
      <c r="B83" s="5" t="str">
        <f>IF(OR(Home!$D$7="",Home!$D$8="No"),"",IF(ISBLANK(HLOOKUP(Home!$D$7,$D$2:$F$102,ROW(A82),FALSE)),"",IF(H83="",HLOOKUP(Home!$D$7,$D$2:$F$102,ROW(A82),FALSE),IF(C83=FALSE,"C"))))</f>
        <v/>
      </c>
      <c r="C83" s="5" t="b">
        <f>ISNUMBER(H83+0)</f>
        <v>1</v>
      </c>
      <c r="D83" s="16" t="str">
        <f t="shared" si="17"/>
        <v/>
      </c>
      <c r="E83" s="16" t="str">
        <f t="shared" ref="E83:F86" si="18">IF(COUNTIF($B$4:$B$7,"R")&gt;0,"",IF(OR($H$5="Yes",$H$72="Yes"),"R",""))</f>
        <v/>
      </c>
      <c r="F83" s="16" t="str">
        <f t="shared" si="18"/>
        <v/>
      </c>
      <c r="G83" s="9" t="str">
        <f>IF(OR(Home!$D$7="Study Participant",Home!$D$7="Individual"),"Social Security Number (9 Digits):","Taxpayer Identification Number (9 Digits):")</f>
        <v>Taxpayer Identification Number (9 Digits):</v>
      </c>
      <c r="H83" s="25"/>
    </row>
    <row r="84" spans="2:8" x14ac:dyDescent="0.25">
      <c r="B84" s="5" t="str">
        <f>IF(OR(Home!$D$7="",Home!$D$8="No"),"",IF(ISBLANK(HLOOKUP(Home!$D$7,$D$2:$F$102,ROW(A83),FALSE)),"",IF(H84="",HLOOKUP(Home!$D$7,$D$2:$F$102,ROW(A83),FALSE),IF(C84=FALSE,"C"))))</f>
        <v/>
      </c>
      <c r="C84" s="5" t="b">
        <v>1</v>
      </c>
      <c r="D84" s="16" t="str">
        <f t="shared" si="17"/>
        <v/>
      </c>
      <c r="E84" s="16" t="str">
        <f t="shared" si="18"/>
        <v/>
      </c>
      <c r="F84" s="16" t="str">
        <f t="shared" si="18"/>
        <v/>
      </c>
      <c r="G84" s="3" t="str">
        <f>Home!D7&amp;" ACH Remittance Contact Name:"</f>
        <v xml:space="preserve"> ACH Remittance Contact Name:</v>
      </c>
      <c r="H84" s="25"/>
    </row>
    <row r="85" spans="2:8" x14ac:dyDescent="0.25">
      <c r="B85" s="5" t="str">
        <f>IF(OR(Home!$D$7="",Home!$D$8="No"),"",IF(ISBLANK(HLOOKUP(Home!$D$7,$D$2:$F$102,ROW(A84),FALSE)),"",IF(H85="",HLOOKUP(Home!$D$7,$D$2:$F$102,ROW(A84),FALSE),IF(C85=FALSE,"C"))))</f>
        <v/>
      </c>
      <c r="C85" s="5" t="b">
        <f>AND(ISNUMBER(H85+0),LEFT(H85,1)="1")</f>
        <v>0</v>
      </c>
      <c r="D85" s="16" t="str">
        <f t="shared" si="17"/>
        <v/>
      </c>
      <c r="E85" s="16" t="str">
        <f t="shared" si="18"/>
        <v/>
      </c>
      <c r="F85" s="16" t="str">
        <f t="shared" si="18"/>
        <v/>
      </c>
      <c r="G85" s="3" t="str">
        <f>Home!D7&amp;" ACH Remittance Contact Phone:"</f>
        <v xml:space="preserve"> ACH Remittance Contact Phone:</v>
      </c>
      <c r="H85" s="25"/>
    </row>
    <row r="86" spans="2:8" x14ac:dyDescent="0.25">
      <c r="B86" s="5" t="str">
        <f>IF(OR(Home!$D$7="",Home!$D$8="No"),"",IF(ISBLANK(HLOOKUP(Home!$D$7,$D$2:$F$102,ROW(A85),FALSE)),"",IF(H86="",HLOOKUP(Home!$D$7,$D$2:$F$102,ROW(A85),FALSE),IF(C86=FALSE,"C"))))</f>
        <v/>
      </c>
      <c r="C86" s="5" t="b">
        <f>IF(H86="",TRUE,ISNUMBER(FIND("@",H86,1)+FIND(".",H86,1)))</f>
        <v>1</v>
      </c>
      <c r="D86" s="16" t="str">
        <f t="shared" si="17"/>
        <v/>
      </c>
      <c r="E86" s="16" t="str">
        <f t="shared" si="18"/>
        <v/>
      </c>
      <c r="F86" s="16" t="str">
        <f t="shared" si="18"/>
        <v/>
      </c>
      <c r="G86" s="3" t="str">
        <f>Home!D7&amp;" ACH Remittance Email:"</f>
        <v xml:space="preserve"> ACH Remittance Email:</v>
      </c>
      <c r="H86" s="26"/>
    </row>
    <row r="87" spans="2:8" x14ac:dyDescent="0.25">
      <c r="B87" s="5" t="str">
        <f>IF(OR(Home!$D$7="",Home!$D$8="No"),"",IF(ISBLANK(HLOOKUP(Home!$D$7,$D$2:$F$102,ROW(A86),FALSE)),"",IF(H87="",HLOOKUP(Home!$D$7,$D$2:$F$102,ROW(A86),FALSE),IF(C87=FALSE,"C"))))</f>
        <v/>
      </c>
      <c r="C87" s="1" t="b">
        <v>1</v>
      </c>
      <c r="D87" s="16" t="str">
        <f>IF(COUNTIF($B$4:$B$7,"R")&gt;0,"",IF(OR($H$5="Yes",$H$72="Yes"),"Y",""))</f>
        <v/>
      </c>
      <c r="E87" s="16" t="str">
        <f>IF(COUNTIF($B$4:$B$7,"R")&gt;0,"",IF(OR($H$5="Yes",$H$72="Yes"),"Y",""))</f>
        <v/>
      </c>
      <c r="F87" s="16" t="str">
        <f>IF(COUNTIF($B$4:$B$7,"R")&gt;0,"",IF(OR($H$5="Yes",$H$72="Yes"),"Y",""))</f>
        <v/>
      </c>
      <c r="G87" s="52" t="str">
        <f>Home!D7&amp;" Remittance Address"</f>
        <v xml:space="preserve"> Remittance Address</v>
      </c>
      <c r="H87" s="53"/>
    </row>
    <row r="88" spans="2:8" x14ac:dyDescent="0.25">
      <c r="B88" s="5" t="str">
        <f>IF(OR(Home!$D$7="",Home!$D$8="No"),"",IF(ISBLANK(HLOOKUP(Home!$D$7,$D$2:$F$102,ROW(A87),FALSE)),"",IF(H88="",HLOOKUP(Home!$D$7,$D$2:$F$102,ROW(A87),FALSE),IF(C88=FALSE,"C"))))</f>
        <v/>
      </c>
      <c r="C88" s="5" t="b">
        <f>LEN(H88)&lt;=35</f>
        <v>1</v>
      </c>
      <c r="D88" s="16" t="str">
        <f>IF(COUNTIF($B$4:$B$7,"R")&gt;0,"",IF(OR($H$5="Yes",$H$72="Yes"),"R",""))</f>
        <v/>
      </c>
      <c r="E88" s="16" t="str">
        <f>IF(COUNTIF($B$4:$B$7,"R")&gt;0,"",IF(OR($H$5="Yes",$H$72="Yes"),"R",""))</f>
        <v/>
      </c>
      <c r="F88" s="16" t="str">
        <f>IF(COUNTIF($B$4:$B$7,"R")&gt;0,"",IF(OR($H$5="Yes",$H$72="Yes"),"R",""))</f>
        <v/>
      </c>
      <c r="G88" s="3" t="str">
        <f>Home!D7&amp;" Remittance Address Line 1:"</f>
        <v xml:space="preserve"> Remittance Address Line 1:</v>
      </c>
      <c r="H88" s="25"/>
    </row>
    <row r="89" spans="2:8" x14ac:dyDescent="0.25">
      <c r="B89" s="5" t="str">
        <f>IF(OR(Home!$D$7="",Home!$D$8="No"),"",IF(ISBLANK(HLOOKUP(Home!$D$7,$D$2:$F$102,ROW(A88),FALSE)),"",IF(H89="",HLOOKUP(Home!$D$7,$D$2:$F$102,ROW(A88),FALSE),IF(C89=FALSE,"C"))))</f>
        <v/>
      </c>
      <c r="C89" s="5" t="b">
        <f>LEN(H89)&lt;=35</f>
        <v>1</v>
      </c>
      <c r="D89" s="16" t="str">
        <f>IF(COUNTIF($B$4:$B$7,"R")&gt;0,"",IF(OR($H$5="Yes",$H$72="Yes"),"Y",""))</f>
        <v/>
      </c>
      <c r="E89" s="16" t="str">
        <f>IF(COUNTIF($B$4:$B$7,"R")&gt;0,"",IF(OR($H$5="Yes",$H$72="Yes"),"Y",""))</f>
        <v/>
      </c>
      <c r="F89" s="16" t="str">
        <f>IF(COUNTIF($B$4:$B$7,"R")&gt;0,"",IF(OR($H$5="Yes",$H$72="Yes"),"Y",""))</f>
        <v/>
      </c>
      <c r="G89" s="3" t="str">
        <f>Home!D7&amp;" Remittance Address Line 2:"</f>
        <v xml:space="preserve"> Remittance Address Line 2:</v>
      </c>
      <c r="H89" s="25"/>
    </row>
    <row r="90" spans="2:8" x14ac:dyDescent="0.25">
      <c r="B90" s="5" t="str">
        <f>IF(OR(Home!$D$7="",Home!$D$8="No"),"",IF(ISBLANK(HLOOKUP(Home!$D$7,$D$2:$F$102,ROW(A89),FALSE)),"",IF(H90="",HLOOKUP(Home!$D$7,$D$2:$F$102,ROW(A89),FALSE),IF(C90=FALSE,"C"))))</f>
        <v/>
      </c>
      <c r="C90" s="5" t="b">
        <v>1</v>
      </c>
      <c r="D90" s="16" t="str">
        <f t="shared" ref="D90:F92" si="19">IF(COUNTIF($B$4:$B$7,"R")&gt;0,"",IF(OR($H$5="Yes",$H$72="Yes"),"R",""))</f>
        <v/>
      </c>
      <c r="E90" s="16" t="str">
        <f t="shared" si="19"/>
        <v/>
      </c>
      <c r="F90" s="16" t="str">
        <f t="shared" si="19"/>
        <v/>
      </c>
      <c r="G90" s="3" t="s">
        <v>6</v>
      </c>
      <c r="H90" s="25"/>
    </row>
    <row r="91" spans="2:8" x14ac:dyDescent="0.25">
      <c r="B91" s="5" t="str">
        <f>IF(OR(Home!$D$7="",Home!$D$8="No"),"",IF(ISBLANK(HLOOKUP(Home!$D$7,$D$2:$F$102,ROW(A90),FALSE)),"",IF(H91="",HLOOKUP(Home!$D$7,$D$2:$F$102,ROW(A90),FALSE),IF(C91=FALSE,"C"))))</f>
        <v/>
      </c>
      <c r="C91" s="5" t="b">
        <v>1</v>
      </c>
      <c r="D91" s="16" t="str">
        <f t="shared" si="19"/>
        <v/>
      </c>
      <c r="E91" s="16" t="str">
        <f t="shared" si="19"/>
        <v/>
      </c>
      <c r="F91" s="16" t="str">
        <f t="shared" si="19"/>
        <v/>
      </c>
      <c r="G91" s="3" t="s">
        <v>7</v>
      </c>
      <c r="H91" s="25"/>
    </row>
    <row r="92" spans="2:8" x14ac:dyDescent="0.25">
      <c r="B92" s="5" t="str">
        <f>IF(OR(Home!$D$7="",Home!$D$8="No"),"",IF(ISBLANK(HLOOKUP(Home!$D$7,$D$2:$F$102,ROW(A91),FALSE)),"",IF(H92="",HLOOKUP(Home!$D$7,$D$2:$F$102,ROW(A91),FALSE),IF(C92=FALSE,"C"))))</f>
        <v/>
      </c>
      <c r="C92" s="5" t="b">
        <v>1</v>
      </c>
      <c r="D92" s="16" t="str">
        <f t="shared" si="19"/>
        <v/>
      </c>
      <c r="E92" s="16" t="str">
        <f t="shared" si="19"/>
        <v/>
      </c>
      <c r="F92" s="16" t="str">
        <f t="shared" si="19"/>
        <v/>
      </c>
      <c r="G92" s="3" t="s">
        <v>8</v>
      </c>
      <c r="H92" s="25"/>
    </row>
    <row r="93" spans="2:8" x14ac:dyDescent="0.25">
      <c r="B93" s="5" t="str">
        <f>IF(OR(Home!$D$7="",Home!$D$8="No"),"",IF(ISBLANK(HLOOKUP(Home!$D$7,$D$2:$F$102,ROW(A92),FALSE)),"",IF(H93="",HLOOKUP(Home!$D$7,$D$2:$F$102,ROW(A92),FALSE),IF(C93=FALSE,"C"))))</f>
        <v/>
      </c>
      <c r="C93" s="1" t="b">
        <v>1</v>
      </c>
      <c r="D93" s="16" t="str">
        <f>IF(COUNTIF($B$4:$B$7,"R")&gt;0,"",IF(OR($H$5="Yes",$H$72="Yes"),"Y",""))</f>
        <v/>
      </c>
      <c r="E93" s="16" t="str">
        <f>IF(COUNTIF($B$4:$B$7,"R")&gt;0,"",IF(OR($H$5="Yes",$H$72="Yes"),"Y",""))</f>
        <v/>
      </c>
      <c r="F93" s="16" t="str">
        <f>IF(COUNTIF($B$4:$B$7,"R")&gt;0,"",IF(OR($H$5="Yes",$H$72="Yes"),"Y",""))</f>
        <v/>
      </c>
      <c r="G93" s="52" t="s">
        <v>24</v>
      </c>
      <c r="H93" s="53"/>
    </row>
    <row r="94" spans="2:8" x14ac:dyDescent="0.25">
      <c r="B94" s="5" t="str">
        <f>IF(OR(Home!$D$7="",Home!$D$8="No"),"",IF(ISBLANK(HLOOKUP(Home!$D$7,$D$2:$F$102,ROW(A93),FALSE)),"",IF(H94="",HLOOKUP(Home!$D$7,$D$2:$F$102,ROW(A93),FALSE),IF(C94=FALSE,"C"))))</f>
        <v/>
      </c>
      <c r="C94" s="1" t="b">
        <v>1</v>
      </c>
      <c r="D94" s="16" t="str">
        <f t="shared" ref="D94:F96" si="20">IF(COUNTIF($B$4:$B$7,"R")&gt;0,"",IF(OR($H$5="Yes",$H$72="Yes"),"R",""))</f>
        <v/>
      </c>
      <c r="E94" s="16" t="str">
        <f t="shared" si="20"/>
        <v/>
      </c>
      <c r="F94" s="16" t="str">
        <f t="shared" si="20"/>
        <v/>
      </c>
      <c r="G94" s="3" t="s">
        <v>25</v>
      </c>
      <c r="H94" s="25"/>
    </row>
    <row r="95" spans="2:8" x14ac:dyDescent="0.25">
      <c r="B95" s="5" t="str">
        <f>IF(OR(Home!$D$7="",Home!$D$8="No"),"",IF(ISBLANK(HLOOKUP(Home!$D$7,$D$2:$F$102,ROW(A94),FALSE)),"",IF(H95="",HLOOKUP(Home!$D$7,$D$2:$F$102,ROW(A94),FALSE),IF(C95=FALSE,"C"))))</f>
        <v/>
      </c>
      <c r="C95" s="5" t="b">
        <f>ISNUMBER(H95+0)</f>
        <v>1</v>
      </c>
      <c r="D95" s="16" t="str">
        <f t="shared" si="20"/>
        <v/>
      </c>
      <c r="E95" s="16" t="str">
        <f t="shared" si="20"/>
        <v/>
      </c>
      <c r="F95" s="16" t="str">
        <f t="shared" si="20"/>
        <v/>
      </c>
      <c r="G95" s="3" t="s">
        <v>26</v>
      </c>
      <c r="H95" s="25"/>
    </row>
    <row r="96" spans="2:8" x14ac:dyDescent="0.25">
      <c r="B96" s="5" t="str">
        <f>IF(OR(Home!$D$7="",Home!$D$8="No"),"",IF(ISBLANK(HLOOKUP(Home!$D$7,$D$2:$F$102,ROW(A95),FALSE)),"",IF(H96="",HLOOKUP(Home!$D$7,$D$2:$F$102,ROW(A95),FALSE),IF(C96=FALSE,"C"))))</f>
        <v/>
      </c>
      <c r="C96" s="5" t="b">
        <f>ISNUMBER(H96+0)</f>
        <v>1</v>
      </c>
      <c r="D96" s="16" t="str">
        <f t="shared" si="20"/>
        <v/>
      </c>
      <c r="E96" s="16" t="str">
        <f t="shared" si="20"/>
        <v/>
      </c>
      <c r="F96" s="16" t="str">
        <f t="shared" si="20"/>
        <v/>
      </c>
      <c r="G96" s="3" t="s">
        <v>27</v>
      </c>
      <c r="H96" s="25"/>
    </row>
    <row r="97" spans="2:8" x14ac:dyDescent="0.25">
      <c r="B97" s="5" t="str">
        <f>IF(OR(Home!$D$7="",Home!$D$8="No"),"",IF(ISBLANK(HLOOKUP(Home!$D$7,$D$2:$F$102,ROW(A96),FALSE)),"",IF(H97="",HLOOKUP(Home!$D$7,$D$2:$F$102,ROW(A96),FALSE),IF(C97=FALSE,"C"))))</f>
        <v/>
      </c>
      <c r="C97" s="1" t="b">
        <v>1</v>
      </c>
      <c r="D97" s="16" t="str">
        <f t="shared" ref="D97:F98" si="21">IF(COUNTIF($B$4:$B$7,"R")&gt;0,"",IF(OR($H$5="Yes",$H$72="Yes"),"Y",""))</f>
        <v/>
      </c>
      <c r="E97" s="16" t="str">
        <f t="shared" si="21"/>
        <v/>
      </c>
      <c r="F97" s="16" t="str">
        <f t="shared" si="21"/>
        <v/>
      </c>
      <c r="G97" s="52" t="str">
        <f>Home!D7&amp;" Authorization"</f>
        <v xml:space="preserve"> Authorization</v>
      </c>
      <c r="H97" s="53"/>
    </row>
    <row r="98" spans="2:8" x14ac:dyDescent="0.25">
      <c r="B98" s="5" t="str">
        <f>IF(OR(Home!$D$7="",Home!$D$8="No"),"",IF(ISBLANK(HLOOKUP(Home!$D$7,$D$2:$F$102,ROW(A97),FALSE)),"",IF(H98="",HLOOKUP(Home!$D$7,$D$2:$F$102,ROW(A97),FALSE),IF(C98=FALSE,"C"))))</f>
        <v/>
      </c>
      <c r="C98" s="1" t="b">
        <v>1</v>
      </c>
      <c r="D98" s="16" t="str">
        <f t="shared" si="21"/>
        <v/>
      </c>
      <c r="E98" s="16" t="str">
        <f t="shared" si="21"/>
        <v/>
      </c>
      <c r="F98" s="16" t="str">
        <f t="shared" si="21"/>
        <v/>
      </c>
      <c r="G98" s="49" t="s">
        <v>94</v>
      </c>
      <c r="H98" s="50"/>
    </row>
    <row r="99" spans="2:8" ht="152.25" customHeight="1" x14ac:dyDescent="0.25">
      <c r="B99" s="5" t="str">
        <f>IF(OR(Home!$D$7="",Home!$D$8="No"),"",IF(ISBLANK(HLOOKUP(Home!$D$7,$D$2:$F$102,ROW(A98),FALSE)),"",IF(H99="",HLOOKUP(Home!$D$7,$D$2:$F$102,ROW(A98),FALSE),IF(C99=FALSE,"C"))))</f>
        <v/>
      </c>
      <c r="C99" s="1" t="b">
        <v>1</v>
      </c>
      <c r="D99" s="16" t="str">
        <f t="shared" ref="D99:F100" si="22">IF(COUNTIF($B$4:$B$7,"R")&gt;0,"",IF(OR($H$5="Yes",$H$72="Yes"),"R",""))</f>
        <v/>
      </c>
      <c r="E99" s="16" t="str">
        <f t="shared" si="22"/>
        <v/>
      </c>
      <c r="F99" s="16" t="str">
        <f t="shared" si="22"/>
        <v/>
      </c>
      <c r="G99"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9" s="32"/>
    </row>
    <row r="100" spans="2:8" x14ac:dyDescent="0.25">
      <c r="B100" s="5" t="str">
        <f>IF(OR(Home!$D$7="",Home!$D$8="No"),"",IF(ISBLANK(HLOOKUP(Home!$D$7,$D$2:$F$102,ROW(A99),FALSE)),"",IF(H100="",HLOOKUP(Home!$D$7,$D$2:$F$102,ROW(A99),FALSE),IF(C100=FALSE,"C"))))</f>
        <v/>
      </c>
      <c r="C100" s="1" t="b">
        <v>1</v>
      </c>
      <c r="D100" s="16" t="str">
        <f t="shared" si="22"/>
        <v/>
      </c>
      <c r="E100" s="16" t="str">
        <f t="shared" si="22"/>
        <v/>
      </c>
      <c r="F100" s="16" t="str">
        <f t="shared" si="22"/>
        <v/>
      </c>
      <c r="G100" s="3" t="s">
        <v>101</v>
      </c>
      <c r="H100" s="27"/>
    </row>
    <row r="101" spans="2:8" x14ac:dyDescent="0.25">
      <c r="B101" s="5" t="str">
        <f>IF(OR(Home!$D$7="",Home!$D$8="No"),"",IF(ISBLANK(HLOOKUP(Home!$D$7,$D$2:$F$102,ROW(A100),FALSE)),"",IF(H101="",HLOOKUP(Home!$D$7,$D$2:$F$102,ROW(A100),FALSE),IF(C101=FALSE,"C"))))</f>
        <v/>
      </c>
      <c r="C101" s="1" t="b">
        <v>1</v>
      </c>
      <c r="D101" s="16" t="str">
        <f>IF(COUNTIF($B$4:$B$7,"R")&gt;0,"",IF(OR($H$5="Yes",$H$72="Yes"),"R",""))</f>
        <v/>
      </c>
      <c r="E101" s="14"/>
      <c r="F101" s="14"/>
      <c r="G101" s="3" t="s">
        <v>100</v>
      </c>
      <c r="H101" s="25"/>
    </row>
    <row r="102" spans="2:8" x14ac:dyDescent="0.25">
      <c r="B102" s="5" t="str">
        <f>IF(OR(Home!$D$7="",Home!$D$8="No"),"",IF(ISBLANK(HLOOKUP(Home!$D$7,$D$2:$F$102,ROW(A101),FALSE)),"",IF(H102="",HLOOKUP(Home!$D$7,$D$2:$F$102,ROW(A101),FALSE),IF(C102=FALSE,"C"))))</f>
        <v/>
      </c>
      <c r="C102" s="5" t="b">
        <f>AND(ISNUMBER(H102+0),LEFT(H102,1)="1")</f>
        <v>0</v>
      </c>
      <c r="D102" s="16" t="str">
        <f>IF(COUNTIF($B$4:$B$7,"R")&gt;0,"",IF(OR($H$5="Yes",$H$72="Yes"),"R",""))</f>
        <v/>
      </c>
      <c r="E102" s="14"/>
      <c r="F102" s="14"/>
      <c r="G102" s="3" t="s">
        <v>99</v>
      </c>
      <c r="H102" s="25"/>
    </row>
  </sheetData>
  <sheetProtection algorithmName="SHA-512" hashValue="Is6O68APnE04ij2A4Ro/2HS+u5poWKvOrbqL2gXI05rsRZTdEOV4rBouk9/SMduDcn72xlpNFirXSt0pl5KDsg==" saltValue="f84/v+gXHB+GXmuHK7kXAA==" spinCount="100000" sheet="1" formatRows="0" selectLockedCells="1"/>
  <autoFilter ref="B2:F102" xr:uid="{306DB0EA-EB5A-4E84-8716-9E6116845EFE}"/>
  <mergeCells count="16">
    <mergeCell ref="G58:H58"/>
    <mergeCell ref="G57:H57"/>
    <mergeCell ref="G3:H3"/>
    <mergeCell ref="G2:H2"/>
    <mergeCell ref="G29:H29"/>
    <mergeCell ref="G37:H37"/>
    <mergeCell ref="G48:H48"/>
    <mergeCell ref="G9:H9"/>
    <mergeCell ref="G8:H8"/>
    <mergeCell ref="G77:H77"/>
    <mergeCell ref="G78:H78"/>
    <mergeCell ref="G87:H87"/>
    <mergeCell ref="G93:H93"/>
    <mergeCell ref="G98:H98"/>
    <mergeCell ref="G97:H97"/>
    <mergeCell ref="G79:H79"/>
  </mergeCells>
  <conditionalFormatting sqref="G2:H70 G72:H102">
    <cfRule type="expression" dxfId="50" priority="31">
      <formula>$B2=""</formula>
    </cfRule>
  </conditionalFormatting>
  <conditionalFormatting sqref="J2">
    <cfRule type="expression" dxfId="49" priority="69">
      <formula>$B2=""</formula>
    </cfRule>
  </conditionalFormatting>
  <conditionalFormatting sqref="G2:H2">
    <cfRule type="expression" dxfId="48" priority="90">
      <formula>LEFT($G$2,9)="Completed"</formula>
    </cfRule>
  </conditionalFormatting>
  <conditionalFormatting sqref="G69:H69">
    <cfRule type="expression" dxfId="47" priority="10">
      <formula>$B69=""</formula>
    </cfRule>
  </conditionalFormatting>
  <conditionalFormatting sqref="H69">
    <cfRule type="expression" dxfId="46" priority="11">
      <formula>$B69="C"</formula>
    </cfRule>
    <cfRule type="expression" dxfId="45" priority="12">
      <formula>$B69="R"</formula>
    </cfRule>
  </conditionalFormatting>
  <conditionalFormatting sqref="G70:H70">
    <cfRule type="expression" dxfId="44" priority="7">
      <formula>$B70=""</formula>
    </cfRule>
  </conditionalFormatting>
  <conditionalFormatting sqref="H70">
    <cfRule type="expression" dxfId="43" priority="8">
      <formula>$B70="C"</formula>
    </cfRule>
    <cfRule type="expression" dxfId="42" priority="9">
      <formula>$B70="R"</formula>
    </cfRule>
  </conditionalFormatting>
  <conditionalFormatting sqref="H3:H70 H72:H102">
    <cfRule type="expression" dxfId="41" priority="88">
      <formula>$B3="C"</formula>
    </cfRule>
    <cfRule type="expression" dxfId="40" priority="89">
      <formula>$B3="R"</formula>
    </cfRule>
  </conditionalFormatting>
  <conditionalFormatting sqref="G71:H71">
    <cfRule type="expression" dxfId="39" priority="4">
      <formula>$B71=""</formula>
    </cfRule>
  </conditionalFormatting>
  <conditionalFormatting sqref="G71:H71">
    <cfRule type="expression" dxfId="38" priority="1">
      <formula>$B71=""</formula>
    </cfRule>
  </conditionalFormatting>
  <conditionalFormatting sqref="H71">
    <cfRule type="expression" dxfId="37" priority="2">
      <formula>$B71="C"</formula>
    </cfRule>
    <cfRule type="expression" dxfId="36" priority="3">
      <formula>$B71="R"</formula>
    </cfRule>
  </conditionalFormatting>
  <conditionalFormatting sqref="H71">
    <cfRule type="expression" dxfId="35" priority="5">
      <formula>$B71="C"</formula>
    </cfRule>
    <cfRule type="expression" dxfId="34" priority="6">
      <formula>$B71="R"</formula>
    </cfRule>
  </conditionalFormatting>
  <dataValidations xWindow="910" yWindow="444" count="18">
    <dataValidation type="list" allowBlank="1" showInputMessage="1" showErrorMessage="1" sqref="H74 H72 H41 H49 H4:H6 H59:H64" xr:uid="{178CE21F-B8D9-4762-BCE9-65E72282FCFF}">
      <formula1>"Yes,No"</formula1>
    </dataValidation>
    <dataValidation type="list" allowBlank="1" showInputMessage="1" showErrorMessage="1" sqref="H38" xr:uid="{666955DC-D217-4FF0-AB07-3F382264D6DC}">
      <formula1>"Email (Plain Text Format),Email (HTML Format),Fax"</formula1>
    </dataValidation>
    <dataValidation type="list" allowBlank="1" showInputMessage="1" showErrorMessage="1" sqref="H16" xr:uid="{924DBD6D-36DA-4B2F-9522-8223A1E57229}">
      <formula1>"Employer Identification Number (EIN),Social Security Number (SSN)"</formula1>
    </dataValidation>
    <dataValidation type="list" allowBlank="1" showInputMessage="1" showErrorMessage="1" sqref="H19" xr:uid="{BF2DF699-81B5-470D-91E3-CCE7BBCD52EA}">
      <formula1>"C Corporation, S Corporation, Partnership"</formula1>
    </dataValidation>
    <dataValidation type="list" allowBlank="1" showInputMessage="1" showErrorMessage="1" sqref="H18" xr:uid="{FB1AF7C5-9CD2-4286-9D35-FECAB2A3D48C}">
      <formula1>"Sole Proprietor or Single Member LLC, C Corporation, S Corporation, Partnership, Trust/Estate, Limited Liability Company (LLC),Government,Non-Profit"</formula1>
    </dataValidation>
    <dataValidation type="textLength" allowBlank="1" showInputMessage="1" showErrorMessage="1" promptTitle="Phone Number" prompt="Requires 11 digits with no special characters and the first digit must start with the number 1." sqref="H14 H35 H47 H55 H85 H102" xr:uid="{91642694-23AB-4690-9B2B-3FC6F8608B3F}">
      <formula1>11</formula1>
      <formula2>11</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82" xr:uid="{CA5EE59B-64AE-408B-9B54-20033795DDF1}">
      <formula1>9</formula1>
      <formula2>9</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83" xr:uid="{93DCFC65-DCAD-4B41-BE10-551C007BA594}">
      <formula1>9</formula1>
      <formula2>9</formula2>
    </dataValidation>
    <dataValidation type="textLength" allowBlank="1" showInputMessage="1" showErrorMessage="1" promptTitle="Fax Number" prompt="Requires 11 digits with no special characters and the first digit must start with the number 1." sqref="H40" xr:uid="{B259903B-DF29-4A06-954F-6FCA7D1D151D}">
      <formula1>11</formula1>
      <formula2>11</formula2>
    </dataValidation>
    <dataValidation type="textLength" allowBlank="1" showInputMessage="1" showErrorMessage="1" promptTitle="Routing Number" prompt="This field requires 9 digits without any special characters." sqref="H95" xr:uid="{0B14B619-2681-414E-866A-C18F3A3475B9}">
      <formula1>9</formula1>
      <formula2>9</formula2>
    </dataValidation>
    <dataValidation type="list" allowBlank="1" showInputMessage="1" showErrorMessage="1" sqref="H5" xr:uid="{2B3F96D7-A0E9-4FE4-A2ED-515BD5C9387E}">
      <formula1>"New,Update"</formula1>
    </dataValidation>
    <dataValidation type="list" allowBlank="1" showInputMessage="1" showErrorMessage="1" sqref="H73" xr:uid="{FDEE90A0-DD38-474E-8F0A-048E5D4E352E}">
      <formula1>"My company is already registered with SAM,My company plans to regiser with SAM,My company does not plan to regiser with SAM"</formula1>
    </dataValidation>
    <dataValidation type="list" allowBlank="1" showInputMessage="1" showErrorMessage="1" sqref="H20" xr:uid="{D0013257-211C-4E72-B31C-AFCE8617ECB4}">
      <formula1>"No,Yes - Small and Diverse,Yes - Small Only,Yes - Diverse Only"</formula1>
    </dataValidation>
    <dataValidation type="list" allowBlank="1" showInputMessage="1" showErrorMessage="1" sqref="H21:H28" xr:uid="{7D224076-EA4D-429B-9D15-99E9B5D8B1F5}">
      <formula1>"No,Yes - Certified,Yes - Self-Identified"</formula1>
    </dataValidation>
    <dataValidation type="whole" allowBlank="1" showInputMessage="1" showErrorMessage="1" sqref="H71" xr:uid="{4D848274-F94A-4D42-9EB1-641E4D8A84D5}">
      <formula1>0</formula1>
      <formula2>100000</formula2>
    </dataValidation>
    <dataValidation type="list" allowBlank="1" showInputMessage="1" showErrorMessage="1" sqref="H70" xr:uid="{4FCC244F-4BC6-492B-88DC-515913C3BC73}">
      <formula1>"I understand"</formula1>
    </dataValidation>
    <dataValidation type="textLength" allowBlank="1" showInputMessage="1" showErrorMessage="1" errorTitle="12 Characters Required" error="The Unique Entity ID is a 12 character alphanumeric ID assigned to an entity by SAM.gov." promptTitle="SAM UEI Number" prompt="The Unique Entity ID is a 12 character alphanumeric ID assigned to an entity by SAM.gov. If you do not know or have this number, you may look it up or request one at the following link https://www.sam.gov." sqref="H12" xr:uid="{E8CB8747-2CB3-433D-ACB6-6F93B26E77F4}">
      <formula1>12</formula1>
      <formula2>12</formula2>
    </dataValidation>
    <dataValidation type="textLength" operator="lessThanOrEqual" allowBlank="1" showInputMessage="1" showErrorMessage="1" errorTitle="Exceeds 35 Characters" error="Address lines must be 35 characters or less." sqref="H50:H51 H42:H43 H30:H31 H88:H89" xr:uid="{4CF78E94-28E2-4CA1-89F8-E3EF342DB7A8}">
      <formula1>35</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xWindow="910" yWindow="444" count="2">
        <x14:dataValidation type="list" allowBlank="1" showInputMessage="1" showErrorMessage="1" xr:uid="{58B4C7BC-9C1F-4364-B743-FBAB9C989664}">
          <x14:formula1>
            <xm:f>'Drop Down'!$D$2:$D$7</xm:f>
          </x14:formula1>
          <xm:sqref>H67</xm:sqref>
        </x14:dataValidation>
        <x14:dataValidation type="list" allowBlank="1" showInputMessage="1" showErrorMessage="1" xr:uid="{EA1605EE-5D46-4199-BCEC-0DB7D11C44DF}">
          <x14:formula1>
            <xm:f>'Drop Down'!$B$2:$B$53</xm:f>
          </x14:formula1>
          <xm:sqref>H45 H33 H53 H91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9FBDE-DDC9-403A-A403-76724A0BA036}">
  <sheetPr filterMode="1">
    <pageSetUpPr fitToPage="1"/>
  </sheetPr>
  <dimension ref="B1:J102"/>
  <sheetViews>
    <sheetView showGridLines="0" zoomScaleNormal="100" workbookViewId="0">
      <pane ySplit="2" topLeftCell="A3" activePane="bottomLeft" state="frozen"/>
      <selection pane="bottomLeft" activeCell="H4" sqref="H4"/>
    </sheetView>
  </sheetViews>
  <sheetFormatPr defaultColWidth="9.140625" defaultRowHeight="15" x14ac:dyDescent="0.25"/>
  <cols>
    <col min="1" max="1" width="1.140625" style="8" customWidth="1"/>
    <col min="2" max="2" width="12.5703125" style="5" hidden="1" customWidth="1"/>
    <col min="3" max="3" width="9.85546875" style="5" hidden="1" customWidth="1"/>
    <col min="4" max="4" width="9.7109375" style="5" hidden="1" customWidth="1"/>
    <col min="5" max="5" width="9.85546875" style="5" hidden="1" customWidth="1"/>
    <col min="6" max="6" width="10.5703125" style="5" hidden="1" customWidth="1"/>
    <col min="7" max="7" width="56.28515625" style="6" customWidth="1"/>
    <col min="8" max="8" width="78.140625" style="17" customWidth="1"/>
    <col min="9" max="9" width="1.28515625" style="8" customWidth="1"/>
    <col min="10" max="10" width="12" style="8" customWidth="1"/>
    <col min="11" max="16384" width="9.140625" style="8"/>
  </cols>
  <sheetData>
    <row r="1" spans="2:10" ht="15.75" thickBot="1" x14ac:dyDescent="0.3">
      <c r="G1" s="34" t="str">
        <f>Home!C1&amp;" ("&amp;IF(Home!D8="Yes","Domestic ","")&amp;Home!$D$7&amp;")"</f>
        <v>Supplier Information Form (SIF) Version 2.0 Effective 2-21-2023 ()</v>
      </c>
    </row>
    <row r="2" spans="2:10" ht="63" customHeight="1" thickTop="1" thickBot="1" x14ac:dyDescent="0.3">
      <c r="B2" s="5" t="str">
        <f>IF(AND(Home!$D$7="Individual",Home!$D$8&lt;&gt;"No"),"Conditional Formatting","")</f>
        <v/>
      </c>
      <c r="C2" s="5" t="s">
        <v>28</v>
      </c>
      <c r="D2" s="5" t="s">
        <v>84</v>
      </c>
      <c r="E2" s="5" t="s">
        <v>20</v>
      </c>
      <c r="F2" s="5" t="s">
        <v>21</v>
      </c>
      <c r="G2" s="54" t="str">
        <f>IF(AND(COUNTIF($B$3:$B$102,"R")&gt;0,COUNTIF($B$3:$B$102,"C")&gt;0),"There are "&amp;COUNTIF($B$3:$B$102,"R")&amp;" required fields remaining highlighted in yellow with mini-dots."&amp;CHAR(10)&amp;"There are "&amp;COUNTIF($B$3:$B$102,"C")&amp;" fields that need correction highlighted in red.",IF(AND(COUNTIF($B$3:$B$102,"R")&gt;0,COUNTIF($B$3:$B$102,"C")=0),"There are "&amp;COUNTIF($B$3:$B$102,"R")&amp;" required fields remaining highlighted in yellow with mini-dots.",IF(AND(COUNTIF($B$3:$B$102,"R")=0,COUNTIF($B$3:$B$102,"C")&gt;0),"There are "&amp;COUNTIF($B$3:$B$102,"C")&amp;" fields that need correction highlighted in red.","Completed! Please submit this excel file to the Emory personnel that provided you this form.")))</f>
        <v>Completed! Please submit this excel file to the Emory personnel that provided you this form.</v>
      </c>
      <c r="H2" s="55"/>
      <c r="J2" s="11" t="str">
        <f>HYPERLINK(CONCATENATE("#Home!D8"),"Click Here to Go Back")</f>
        <v>Click Here to Go Back</v>
      </c>
    </row>
    <row r="3" spans="2:10" ht="23.25" customHeight="1" thickTop="1" x14ac:dyDescent="0.25">
      <c r="B3" s="5" t="str">
        <f>IF(OR(Home!$D$7="",Home!$D$8="No"),"",IF(ISBLANK(HLOOKUP(Home!$D$7,$D$2:$F$102,ROW(A2),FALSE)),"",IF(H3="",HLOOKUP(Home!$D$7,$D$2:$F$102,ROW(A2),FALSE),IF(C3=FALSE,"C"))))</f>
        <v/>
      </c>
      <c r="C3" s="5" t="b">
        <v>1</v>
      </c>
      <c r="D3" s="15" t="s">
        <v>22</v>
      </c>
      <c r="E3" s="15" t="s">
        <v>22</v>
      </c>
      <c r="F3" s="15"/>
      <c r="G3" s="48" t="s">
        <v>19</v>
      </c>
      <c r="H3" s="58"/>
    </row>
    <row r="4" spans="2:10" ht="45" x14ac:dyDescent="0.25">
      <c r="B4" s="5" t="str">
        <f>IF(OR(Home!$D$7="",Home!$D$8="No"),"",IF(ISBLANK(HLOOKUP(Home!$D$7,$D$2:$F$102,ROW(A3),FALSE)),"",IF(H4="",HLOOKUP(Home!$D$7,$D$2:$F$102,ROW(A3),FALSE),IF(C4=FALSE,"C"))))</f>
        <v/>
      </c>
      <c r="C4" s="5" t="b">
        <v>1</v>
      </c>
      <c r="D4" s="15" t="s">
        <v>14</v>
      </c>
      <c r="E4" s="15" t="s">
        <v>14</v>
      </c>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5"/>
    </row>
    <row r="5" spans="2:10" ht="31.5" customHeight="1" x14ac:dyDescent="0.25">
      <c r="B5" s="5" t="str">
        <f>IF(OR(Home!$D$7="",Home!$D$8="No"),"",IF(ISBLANK(HLOOKUP(Home!$D$7,$D$2:$F$102,ROW(A4),FALSE)),"",IF(H5="",HLOOKUP(Home!$D$7,$D$2:$F$102,ROW(A4),FALSE),IF(C5=FALSE,"C"))))</f>
        <v/>
      </c>
      <c r="C5" s="5" t="b">
        <v>1</v>
      </c>
      <c r="D5" s="15" t="str">
        <f>IF(H4="Yes","R","Y")</f>
        <v>Y</v>
      </c>
      <c r="E5" s="15" t="str">
        <f>IF(H4="Yes","R","Y")</f>
        <v>Y</v>
      </c>
      <c r="F5" s="15"/>
      <c r="G5" s="9" t="str">
        <f>IF(H4="Yes",IF(Home!$D$7="Company","Does your company",IF(Home!$D$7="Individual","Do you",""))&amp;" only need to update the ACH/Banking information on file with Emory?","")</f>
        <v/>
      </c>
      <c r="H5" s="25"/>
    </row>
    <row r="6" spans="2:10" ht="30" hidden="1" x14ac:dyDescent="0.25">
      <c r="B6" s="5" t="str">
        <f>IF(OR(Home!$D$7="",Home!$D$8="No"),"",IF(ISBLANK(HLOOKUP(Home!$D$7,$D$2:$F$102,ROW(A5),FALSE)),"",IF(H6="",HLOOKUP(Home!$D$7,$D$2:$F$102,ROW(A5),FALSE),IF(C6=FALSE,"C"))))</f>
        <v/>
      </c>
      <c r="C6" s="5" t="b">
        <v>1</v>
      </c>
      <c r="D6" s="15" t="s">
        <v>14</v>
      </c>
      <c r="E6" s="15"/>
      <c r="F6" s="15"/>
      <c r="G6" s="9" t="s">
        <v>1056</v>
      </c>
      <c r="H6" s="25"/>
    </row>
    <row r="7" spans="2:10" ht="47.25" hidden="1" customHeight="1" x14ac:dyDescent="0.25">
      <c r="B7" s="5" t="str">
        <f>IF(OR(Home!$D$7="",Home!$D$8="No"),"",IF(ISBLANK(HLOOKUP(Home!$D$7,$D$2:$F$102,ROW(A6),FALSE)),"",IF(H7="",HLOOKUP(Home!$D$7,$D$2:$F$102,ROW(A6),FALSE),IF(C7=FALSE,"C"))))</f>
        <v/>
      </c>
      <c r="C7" s="5" t="b">
        <v>1</v>
      </c>
      <c r="D7" s="15" t="str">
        <f>IF(H6="Yes","R","Y")</f>
        <v>Y</v>
      </c>
      <c r="E7" s="15"/>
      <c r="F7" s="15"/>
      <c r="G7" s="9" t="str">
        <f>IF(H6="Yes","Please provide a brief description of the merger, acquisition, or spinoff:","")</f>
        <v/>
      </c>
      <c r="H7" s="25"/>
    </row>
    <row r="8" spans="2:10" ht="15" customHeight="1" x14ac:dyDescent="0.25">
      <c r="B8" s="5" t="str">
        <f>IF(OR(Home!$D$7="",Home!$D$8="No"),"",IF(ISBLANK(HLOOKUP(Home!$D$7,$D$2:$F$102,ROW(A7),FALSE)),"",IF(H8="",HLOOKUP(Home!$D$7,$D$2:$F$102,ROW(A7),FALSE),IF(C8=FALSE,"C"))))</f>
        <v/>
      </c>
      <c r="C8" s="5" t="b">
        <v>1</v>
      </c>
      <c r="D8" s="15" t="s">
        <v>22</v>
      </c>
      <c r="E8" s="15" t="s">
        <v>22</v>
      </c>
      <c r="F8" s="15" t="s">
        <v>22</v>
      </c>
      <c r="G8" s="48"/>
      <c r="H8" s="58"/>
    </row>
    <row r="9" spans="2:10" ht="30.75" customHeight="1" x14ac:dyDescent="0.25">
      <c r="B9" s="5" t="str">
        <f>IF(OR(Home!$D$7="",Home!$D$8="No"),"",IF(ISBLANK(HLOOKUP(Home!$D$7,$D$2:$F$102,ROW(A8),FALSE)),"",IF(H9="",HLOOKUP(Home!$D$7,$D$2:$F$102,ROW(A8),FALSE),IF(C9=FALSE,"C"))))</f>
        <v/>
      </c>
      <c r="C9" s="5" t="b">
        <v>1</v>
      </c>
      <c r="D9" s="15" t="str">
        <f>IF(COUNTIF($B$4:$B$7,"R")&gt;0,"","Y")</f>
        <v>Y</v>
      </c>
      <c r="E9" s="15" t="str">
        <f>IF(COUNTIF($B$4:$B$7,"R")&gt;0,"","Y")</f>
        <v>Y</v>
      </c>
      <c r="F9" s="15" t="s">
        <v>22</v>
      </c>
      <c r="G9" s="56" t="str">
        <f>Home!D7&amp;" Name and Information"</f>
        <v xml:space="preserve"> Name and Information</v>
      </c>
      <c r="H9" s="57"/>
    </row>
    <row r="10" spans="2:10" x14ac:dyDescent="0.25">
      <c r="B10" s="5" t="str">
        <f>IF(OR(Home!$D$7="",Home!$D$8="No"),"",IF(ISBLANK(HLOOKUP(Home!$D$7,$D$2:$F$102,ROW(A9),FALSE)),"",IF(H10="",HLOOKUP(Home!$D$7,$D$2:$F$102,ROW(A9),FALSE),IF(C10=FALSE,"C"))))</f>
        <v/>
      </c>
      <c r="C10" s="5" t="b">
        <v>1</v>
      </c>
      <c r="D10" s="15" t="str">
        <f>IF(COUNTIF($B$4:$B$7,"R")&gt;0,"",IF($H$5="Yes","Y","R"))</f>
        <v>R</v>
      </c>
      <c r="E10" s="15" t="str">
        <f>IF(COUNTIF($B$4:$B$7,"R")&gt;0,"",IF($H$5="Yes","Y","R"))</f>
        <v>R</v>
      </c>
      <c r="F10" s="15" t="s">
        <v>14</v>
      </c>
      <c r="G10" s="9" t="s">
        <v>23</v>
      </c>
      <c r="H10" s="25"/>
    </row>
    <row r="11" spans="2:10" x14ac:dyDescent="0.25">
      <c r="B11" s="5" t="str">
        <f>IF(OR(Home!$D$7="",Home!$D$8="No"),"",IF(ISBLANK(HLOOKUP(Home!$D$7,$D$2:$F$102,ROW(A10),FALSE)),"",IF(H11="",HLOOKUP(Home!$D$7,$D$2:$F$102,ROW(A10),FALSE),IF(C11=FALSE,"C"))))</f>
        <v/>
      </c>
      <c r="C11" s="5" t="b">
        <v>1</v>
      </c>
      <c r="D11" s="15" t="str">
        <f t="shared" ref="D11:E11" si="0">IF(COUNTIF($B$4:$B$7,"R")&gt;0,"","Y")</f>
        <v>Y</v>
      </c>
      <c r="E11" s="15" t="str">
        <f t="shared" si="0"/>
        <v>Y</v>
      </c>
      <c r="F11" s="15"/>
      <c r="G11" s="9" t="s">
        <v>2</v>
      </c>
      <c r="H11" s="25"/>
    </row>
    <row r="12" spans="2:10" hidden="1" x14ac:dyDescent="0.25">
      <c r="B12" s="5" t="str">
        <f>IF(OR(Home!$D$7="",Home!$D$8="No"),"",IF(ISBLANK(HLOOKUP(Home!$D$7,$D$2:$F$102,ROW(A11),FALSE)),"",IF(H12="",HLOOKUP(Home!$D$7,$D$2:$F$102,ROW(A11),FALSE),IF(C12=FALSE,"C"))))</f>
        <v/>
      </c>
      <c r="C12" s="5" t="b">
        <f>ISNUMBER(H12+0)</f>
        <v>1</v>
      </c>
      <c r="D12" s="15" t="str">
        <f>IF(COUNTIF($B$4:$B$7,"R")&gt;0,"",IF($H$5="Yes","Y","Y"))</f>
        <v>Y</v>
      </c>
      <c r="E12" s="13"/>
      <c r="F12" s="15"/>
      <c r="G12" s="9" t="s">
        <v>1061</v>
      </c>
      <c r="H12" s="25"/>
    </row>
    <row r="13" spans="2:10" x14ac:dyDescent="0.25">
      <c r="B13" s="5" t="str">
        <f>IF(OR(Home!$D$7="",Home!$D$8="No"),"",IF(ISBLANK(HLOOKUP(Home!$D$7,$D$2:$F$102,ROW(A12),FALSE)),"",IF(H13="",HLOOKUP(Home!$D$7,$D$2:$F$102,ROW(A12),FALSE),IF(C13=FALSE,"C"))))</f>
        <v/>
      </c>
      <c r="C13" s="5" t="b">
        <v>1</v>
      </c>
      <c r="D13" s="15" t="str">
        <f t="shared" ref="D13:E18" si="1">IF(COUNTIF($B$4:$B$7,"R")&gt;0,"",IF($H$5="Yes","Y","R"))</f>
        <v>R</v>
      </c>
      <c r="E13" s="15" t="str">
        <f t="shared" si="1"/>
        <v>R</v>
      </c>
      <c r="F13" s="15" t="s">
        <v>14</v>
      </c>
      <c r="G13" s="9" t="s">
        <v>1</v>
      </c>
      <c r="H13" s="25"/>
    </row>
    <row r="14" spans="2:10" x14ac:dyDescent="0.25">
      <c r="B14" s="5" t="str">
        <f>IF(OR(Home!$D$7="",Home!$D$8="No"),"",IF(ISBLANK(HLOOKUP(Home!$D$7,$D$2:$F$102,ROW(A13),FALSE)),"",IF(H14="",HLOOKUP(Home!$D$7,$D$2:$F$102,ROW(A13),FALSE),IF(C14=FALSE,"C"))))</f>
        <v/>
      </c>
      <c r="C14" s="5" t="b">
        <f>AND(ISNUMBER(H14+0),LEFT(H14,1)="1")</f>
        <v>0</v>
      </c>
      <c r="D14" s="15" t="str">
        <f t="shared" si="1"/>
        <v>R</v>
      </c>
      <c r="E14" s="15" t="str">
        <f t="shared" si="1"/>
        <v>R</v>
      </c>
      <c r="F14" s="15" t="s">
        <v>14</v>
      </c>
      <c r="G14" s="9" t="s">
        <v>3</v>
      </c>
      <c r="H14" s="25"/>
    </row>
    <row r="15" spans="2:10" x14ac:dyDescent="0.25">
      <c r="B15" s="5" t="str">
        <f>IF(OR(Home!$D$7="",Home!$D$8="No"),"",IF(ISBLANK(HLOOKUP(Home!$D$7,$D$2:$F$102,ROW(A14),FALSE)),"",IF(H15="",HLOOKUP(Home!$D$7,$D$2:$F$102,ROW(A14),FALSE),IF(C15=FALSE,"C"))))</f>
        <v/>
      </c>
      <c r="C15" s="5" t="b">
        <f>IF(H15="",TRUE,ISNUMBER(FIND("@",H15,1)+FIND(".",H15,1)))</f>
        <v>1</v>
      </c>
      <c r="D15" s="15" t="str">
        <f t="shared" si="1"/>
        <v>R</v>
      </c>
      <c r="E15" s="15" t="str">
        <f t="shared" si="1"/>
        <v>R</v>
      </c>
      <c r="F15" s="15" t="s">
        <v>14</v>
      </c>
      <c r="G15" s="9" t="s">
        <v>4</v>
      </c>
      <c r="H15" s="26"/>
    </row>
    <row r="16" spans="2:10" hidden="1" x14ac:dyDescent="0.25">
      <c r="B16" s="5" t="str">
        <f>IF(OR(Home!$D$7="",Home!$D$8="No"),"",IF(ISBLANK(HLOOKUP(Home!$D$7,$D$2:$F$102,ROW(A15),FALSE)),"",IF(H16="",HLOOKUP(Home!$D$7,$D$2:$F$102,ROW(A15),FALSE),IF(C16=FALSE,"C"))))</f>
        <v/>
      </c>
      <c r="C16" s="5" t="b">
        <v>1</v>
      </c>
      <c r="D16" s="15" t="str">
        <f t="shared" si="1"/>
        <v>R</v>
      </c>
      <c r="E16" s="15"/>
      <c r="F16" s="15"/>
      <c r="G16" s="9" t="s">
        <v>1054</v>
      </c>
      <c r="H16" s="25"/>
    </row>
    <row r="17" spans="2:8" x14ac:dyDescent="0.25">
      <c r="B17" s="5" t="str">
        <f>IF(OR(Home!$D$7="",Home!$D$8="No"),"",IF(ISBLANK(HLOOKUP(Home!$D$7,$D$2:$F$102,ROW(A16),FALSE)),"",IF(H17="",HLOOKUP(Home!$D$7,$D$2:$F$102,ROW(A16),FALSE),IF(C17=FALSE,"C"))))</f>
        <v/>
      </c>
      <c r="C17" s="5" t="b">
        <f>ISNUMBER(H17+0)</f>
        <v>1</v>
      </c>
      <c r="D17" s="15" t="str">
        <f>IF(COUNTIF($B$4:$B$7,"R")&gt;0,"",IF(OR($H$5="Yes",H16=""),"Y","R"))</f>
        <v>Y</v>
      </c>
      <c r="E17" s="15" t="str">
        <f t="shared" si="1"/>
        <v>R</v>
      </c>
      <c r="F17" s="15" t="s">
        <v>14</v>
      </c>
      <c r="G17" s="9" t="str">
        <f>IF(OR(Home!$D$7="Study Participant",Home!$D$7="Individual"),"Social Security Number (SSN) (9 Digits):",IF(H16="","",$H$16&amp;" (9 Digits) :"))</f>
        <v/>
      </c>
      <c r="H17" s="25"/>
    </row>
    <row r="18" spans="2:8" ht="30" hidden="1" x14ac:dyDescent="0.25">
      <c r="B18" s="5" t="str">
        <f>IF(OR(Home!$D$7="",Home!$D$8="No"),"",IF(ISBLANK(HLOOKUP(Home!$D$7,$D$2:$F$102,ROW(A17),FALSE)),"",IF(H18="",HLOOKUP(Home!$D$7,$D$2:$F$102,ROW(A17),FALSE),IF(C18=FALSE,"C"))))</f>
        <v/>
      </c>
      <c r="C18" s="5" t="b">
        <v>1</v>
      </c>
      <c r="D18" s="15" t="str">
        <f t="shared" si="1"/>
        <v>R</v>
      </c>
      <c r="E18" s="15"/>
      <c r="F18" s="15"/>
      <c r="G18" s="9" t="s">
        <v>1055</v>
      </c>
      <c r="H18" s="25"/>
    </row>
    <row r="19" spans="2:8" hidden="1" x14ac:dyDescent="0.25">
      <c r="B19" s="5" t="str">
        <f>IF(OR(Home!$D$7="",Home!$D$8="No"),"",IF(ISBLANK(HLOOKUP(Home!$D$7,$D$2:$F$102,ROW(A18),FALSE)),"",IF(H19="",HLOOKUP(Home!$D$7,$D$2:$F$102,ROW(A18),FALSE),IF(C19=FALSE,"C"))))</f>
        <v/>
      </c>
      <c r="C19" s="5" t="b">
        <v>1</v>
      </c>
      <c r="D19" s="15" t="str">
        <f>IF(COUNTIF($B$4:$B$7,"R")&gt;0,"",IF($H$18="Limited Liability Company (LLC)","R","Y"))</f>
        <v>Y</v>
      </c>
      <c r="E19" s="15"/>
      <c r="F19" s="15"/>
      <c r="G19" s="9" t="str">
        <f>IF(H18="Limited Liability Company (LLC)","If LLC, Select Tax Classification:","")</f>
        <v/>
      </c>
      <c r="H19" s="25"/>
    </row>
    <row r="20" spans="2:8" ht="30" hidden="1" x14ac:dyDescent="0.25">
      <c r="B20" s="5" t="str">
        <f>IF(OR(Home!$D$7="",Home!$D$8="No"),"",IF(ISBLANK(HLOOKUP(Home!$D$7,$D$2:$F$102,ROW(A19),FALSE)),"",IF(H20="",HLOOKUP(Home!$D$7,$D$2:$F$102,ROW(A19),FALSE),IF(C20=FALSE,"C"))))</f>
        <v/>
      </c>
      <c r="C20" s="5" t="b">
        <v>1</v>
      </c>
      <c r="D20" s="15" t="str">
        <f>IF(COUNTIF($B$4:$B$7,"R")&gt;0,"",IF(OR($H$5="Yes",$H$18="Individual"),"Y","R"))</f>
        <v>R</v>
      </c>
      <c r="E20" s="15"/>
      <c r="F20" s="15"/>
      <c r="G20" s="9" t="s">
        <v>1057</v>
      </c>
      <c r="H20" s="25"/>
    </row>
    <row r="21" spans="2:8" hidden="1" x14ac:dyDescent="0.25">
      <c r="B21" s="5" t="str">
        <f>IF(OR(Home!$D$7="",Home!$D$8="No"),"",IF(ISBLANK(HLOOKUP(Home!$D$7,$D$2:$F$102,ROW(A20),FALSE)),"",IF(H21="",HLOOKUP(Home!$D$7,$D$2:$F$102,ROW(A20),FALSE),IF(C21=FALSE,"C"))))</f>
        <v/>
      </c>
      <c r="C21" s="5" t="b">
        <v>1</v>
      </c>
      <c r="D21" s="15" t="str">
        <f t="shared" ref="D21:D25" si="2">IF(COUNTIF($B$4:$B$7,"R")&gt;0,"",IF(OR($H$5="Yes",$H$20="",$H$20="No",$H$20="Yes - Small Only"),"Y","R"))</f>
        <v>Y</v>
      </c>
      <c r="E21" s="15"/>
      <c r="F21" s="15"/>
      <c r="G21" s="9" t="str">
        <f>IF(OR($H$20="Yes - Small and Diverse",$H$20="Yes - Diverse Only"),"Indicate if Disadvantaged Business (DBE):","")</f>
        <v/>
      </c>
      <c r="H21" s="25"/>
    </row>
    <row r="22" spans="2:8" hidden="1" x14ac:dyDescent="0.25">
      <c r="B22" s="5" t="str">
        <f>IF(OR(Home!$D$7="",Home!$D$8="No"),"",IF(ISBLANK(HLOOKUP(Home!$D$7,$D$2:$F$102,ROW(A21),FALSE)),"",IF(H22="",HLOOKUP(Home!$D$7,$D$2:$F$102,ROW(A21),FALSE),IF(C22=FALSE,"C"))))</f>
        <v/>
      </c>
      <c r="C22" s="5" t="b">
        <v>1</v>
      </c>
      <c r="D22" s="15" t="str">
        <f t="shared" si="2"/>
        <v>Y</v>
      </c>
      <c r="E22" s="15"/>
      <c r="F22" s="15"/>
      <c r="G22" s="9" t="str">
        <f>IF(OR($H$20="Yes - Small and Diverse",$H$20="Yes - Diverse Only"),"Indicate if Woman-Owned Business (WBE):","")</f>
        <v/>
      </c>
      <c r="H22" s="25"/>
    </row>
    <row r="23" spans="2:8" hidden="1" x14ac:dyDescent="0.25">
      <c r="B23" s="5" t="str">
        <f>IF(OR(Home!$D$7="",Home!$D$8="No"),"",IF(ISBLANK(HLOOKUP(Home!$D$7,$D$2:$F$102,ROW(A22),FALSE)),"",IF(H23="",HLOOKUP(Home!$D$7,$D$2:$F$102,ROW(A22),FALSE),IF(C23=FALSE,"C"))))</f>
        <v/>
      </c>
      <c r="C23" s="5" t="b">
        <v>1</v>
      </c>
      <c r="D23" s="15" t="str">
        <f t="shared" si="2"/>
        <v>Y</v>
      </c>
      <c r="E23" s="15"/>
      <c r="F23" s="15"/>
      <c r="G23" s="9" t="str">
        <f>IF(OR($H$20="Yes - Small and Diverse",$H$20="Yes - Diverse Only"),"Indicate if Minority Owned Business (MBE):","")</f>
        <v/>
      </c>
      <c r="H23" s="25"/>
    </row>
    <row r="24" spans="2:8" hidden="1" x14ac:dyDescent="0.25">
      <c r="B24" s="5" t="str">
        <f>IF(OR(Home!$D$7="",Home!$D$8="No"),"",IF(ISBLANK(HLOOKUP(Home!$D$7,$D$2:$F$102,ROW(A23),FALSE)),"",IF(H24="",HLOOKUP(Home!$D$7,$D$2:$F$102,ROW(A23),FALSE),IF(C24=FALSE,"C"))))</f>
        <v/>
      </c>
      <c r="C24" s="5" t="b">
        <v>1</v>
      </c>
      <c r="D24" s="15" t="str">
        <f t="shared" si="2"/>
        <v>Y</v>
      </c>
      <c r="E24" s="15"/>
      <c r="F24" s="15"/>
      <c r="G24" s="9" t="str">
        <f>IF(OR($H$20="Yes - Small and Diverse",$H$20="Yes - Diverse Only"),"Indicate if Veteran Owned Business (VBE):","")</f>
        <v/>
      </c>
      <c r="H24" s="25"/>
    </row>
    <row r="25" spans="2:8" ht="32.25" hidden="1" customHeight="1" x14ac:dyDescent="0.25">
      <c r="B25" s="5" t="str">
        <f>IF(OR(Home!$D$7="",Home!$D$8="No"),"",IF(ISBLANK(HLOOKUP(Home!$D$7,$D$2:$F$102,ROW(A24),FALSE)),"",IF(H25="",HLOOKUP(Home!$D$7,$D$2:$F$102,ROW(A24),FALSE),IF(C25=FALSE,"C"))))</f>
        <v/>
      </c>
      <c r="C25" s="5" t="b">
        <v>1</v>
      </c>
      <c r="D25" s="15" t="str">
        <f t="shared" si="2"/>
        <v>Y</v>
      </c>
      <c r="E25" s="15"/>
      <c r="F25" s="15"/>
      <c r="G25" s="9" t="str">
        <f>IF(OR($H$20="Yes - Small and Diverse",$H$20="Yes - Diverse Only"),"Indicate if Historically Black Colleges / Universities &amp; Minority Institutions:","")</f>
        <v/>
      </c>
      <c r="H25" s="25"/>
    </row>
    <row r="26" spans="2:8" hidden="1" x14ac:dyDescent="0.25">
      <c r="B26" s="5" t="str">
        <f>IF(OR(Home!$D$7="",Home!$D$8="No"),"",IF(ISBLANK(HLOOKUP(Home!$D$7,$D$2:$F$102,ROW(A25),FALSE)),"",IF(H26="",HLOOKUP(Home!$D$7,$D$2:$F$102,ROW(A25),FALSE),IF(C26=FALSE,"C"))))</f>
        <v/>
      </c>
      <c r="C26" s="5" t="b">
        <v>1</v>
      </c>
      <c r="D26" s="15" t="str">
        <f t="shared" ref="D26:D28" si="3">IF(COUNTIF($B$4:$B$7,"R")&gt;0,"",IF(OR($H$5="Yes",$H$20="",$H$20="No",$H$20="Yes - Small Only",$H$20="Yes - Diverse Only"),"Y","R"))</f>
        <v>Y</v>
      </c>
      <c r="E26" s="15"/>
      <c r="F26" s="15"/>
      <c r="G26" s="9" t="str">
        <f>IF(OR($H$20="Yes - Small and Diverse"),"Indicate if HUBZone Small Business (HUB Zone):","")</f>
        <v/>
      </c>
      <c r="H26" s="25"/>
    </row>
    <row r="27" spans="2:8" ht="33.75" hidden="1" customHeight="1" x14ac:dyDescent="0.25">
      <c r="B27" s="5" t="str">
        <f>IF(OR(Home!$D$7="",Home!$D$8="No"),"",IF(ISBLANK(HLOOKUP(Home!$D$7,$D$2:$F$102,ROW(A26),FALSE)),"",IF(H27="",HLOOKUP(Home!$D$7,$D$2:$F$102,ROW(A26),FALSE),IF(C27=FALSE,"C"))))</f>
        <v/>
      </c>
      <c r="C27" s="5" t="b">
        <v>1</v>
      </c>
      <c r="D27" s="15" t="str">
        <f t="shared" si="3"/>
        <v>Y</v>
      </c>
      <c r="E27" s="15"/>
      <c r="F27" s="15"/>
      <c r="G27" s="9" t="str">
        <f>IF(OR($H$20="Yes - Small and Diverse"),"Indicate if Service Disabled Veteran-Owned Small Business (SDVOSB):","")</f>
        <v/>
      </c>
      <c r="H27" s="25"/>
    </row>
    <row r="28" spans="2:8" ht="33.75" hidden="1" customHeight="1" x14ac:dyDescent="0.25">
      <c r="B28" s="5" t="str">
        <f>IF(OR(Home!$D$7="",Home!$D$8="No"),"",IF(ISBLANK(HLOOKUP(Home!$D$7,$D$2:$F$102,ROW(A27),FALSE)),"",IF(H28="",HLOOKUP(Home!$D$7,$D$2:$F$102,ROW(A27),FALSE),IF(C28=FALSE,"C"))))</f>
        <v/>
      </c>
      <c r="C28" s="5" t="b">
        <v>1</v>
      </c>
      <c r="D28" s="15" t="str">
        <f t="shared" si="3"/>
        <v>Y</v>
      </c>
      <c r="E28" s="15"/>
      <c r="F28" s="15"/>
      <c r="G28" s="9" t="str">
        <f>IF(OR($H$20="Yes - Small and Diverse"),"Indicate if Alaskan Native Corporations (ANCs) &amp; Indian Tribes):","")</f>
        <v/>
      </c>
      <c r="H28" s="25"/>
    </row>
    <row r="29" spans="2:8" ht="23.25" customHeight="1" x14ac:dyDescent="0.25">
      <c r="B29" s="5" t="str">
        <f>IF(OR(Home!$D$7="",Home!$D$8="No"),"",IF(ISBLANK(HLOOKUP(Home!$D$7,$D$2:$F$102,ROW(A28),FALSE)),"",IF(H29="",HLOOKUP(Home!$D$7,$D$2:$F$102,ROW(A28),FALSE),IF(C29=FALSE,"C"))))</f>
        <v/>
      </c>
      <c r="C29" s="5" t="b">
        <v>1</v>
      </c>
      <c r="D29" s="15" t="str">
        <f t="shared" ref="D29:E29" si="4">IF(COUNTIF($B$4:$B$7,"R")&gt;0,"","Y")</f>
        <v>Y</v>
      </c>
      <c r="E29" s="15" t="str">
        <f t="shared" si="4"/>
        <v>Y</v>
      </c>
      <c r="F29" s="15" t="s">
        <v>22</v>
      </c>
      <c r="G29" s="48" t="s">
        <v>5</v>
      </c>
      <c r="H29" s="58"/>
    </row>
    <row r="30" spans="2:8" x14ac:dyDescent="0.25">
      <c r="B30" s="5" t="str">
        <f>IF(OR(Home!$D$7="",Home!$D$8="No"),"",IF(ISBLANK(HLOOKUP(Home!$D$7,$D$2:$F$102,ROW(A29),FALSE)),"",IF(H30="",HLOOKUP(Home!$D$7,$D$2:$F$102,ROW(A29),FALSE),IF(C30=FALSE,"C"))))</f>
        <v/>
      </c>
      <c r="C30" s="5" t="b">
        <f>LEN(H30)&lt;=35</f>
        <v>1</v>
      </c>
      <c r="D30" s="15" t="str">
        <f t="shared" ref="D30:E30" si="5">IF(COUNTIF($B$4:$B$7,"R")&gt;0,"",IF($H$5="Yes","Y","R"))</f>
        <v>R</v>
      </c>
      <c r="E30" s="15" t="str">
        <f t="shared" si="5"/>
        <v>R</v>
      </c>
      <c r="F30" s="15" t="s">
        <v>14</v>
      </c>
      <c r="G30" s="9" t="s">
        <v>16</v>
      </c>
      <c r="H30" s="25"/>
    </row>
    <row r="31" spans="2:8" x14ac:dyDescent="0.25">
      <c r="B31" s="5" t="str">
        <f>IF(OR(Home!$D$7="",Home!$D$8="No"),"",IF(ISBLANK(HLOOKUP(Home!$D$7,$D$2:$F$102,ROW(A30),FALSE)),"",IF(H31="",HLOOKUP(Home!$D$7,$D$2:$F$102,ROW(A30),FALSE),IF(C31=FALSE,"C"))))</f>
        <v/>
      </c>
      <c r="C31" s="5" t="b">
        <f>LEN(H31)&lt;=35</f>
        <v>1</v>
      </c>
      <c r="D31" s="15" t="str">
        <f t="shared" ref="D31:E31" si="6">IF(COUNTIF($B$4:$B$7,"R")&gt;0,"","Y")</f>
        <v>Y</v>
      </c>
      <c r="E31" s="15" t="str">
        <f t="shared" si="6"/>
        <v>Y</v>
      </c>
      <c r="F31" s="15" t="s">
        <v>22</v>
      </c>
      <c r="G31" s="9" t="s">
        <v>17</v>
      </c>
      <c r="H31" s="25"/>
    </row>
    <row r="32" spans="2:8" x14ac:dyDescent="0.25">
      <c r="B32" s="5" t="str">
        <f>IF(OR(Home!$D$7="",Home!$D$8="No"),"",IF(ISBLANK(HLOOKUP(Home!$D$7,$D$2:$F$102,ROW(A31),FALSE)),"",IF(H32="",HLOOKUP(Home!$D$7,$D$2:$F$102,ROW(A31),FALSE),IF(C32=FALSE,"C"))))</f>
        <v/>
      </c>
      <c r="C32" s="5" t="b">
        <v>1</v>
      </c>
      <c r="D32" s="15" t="str">
        <f t="shared" ref="D32:E34" si="7">IF(COUNTIF($B$4:$B$7,"R")&gt;0,"",IF($H$5="Yes","Y","R"))</f>
        <v>R</v>
      </c>
      <c r="E32" s="15" t="str">
        <f t="shared" si="7"/>
        <v>R</v>
      </c>
      <c r="F32" s="15" t="s">
        <v>14</v>
      </c>
      <c r="G32" s="9" t="s">
        <v>6</v>
      </c>
      <c r="H32" s="25"/>
    </row>
    <row r="33" spans="2:8" x14ac:dyDescent="0.25">
      <c r="B33" s="5" t="str">
        <f>IF(OR(Home!$D$7="",Home!$D$8="No"),"",IF(ISBLANK(HLOOKUP(Home!$D$7,$D$2:$F$102,ROW(A32),FALSE)),"",IF(H33="",HLOOKUP(Home!$D$7,$D$2:$F$102,ROW(A32),FALSE),IF(C33=FALSE,"C"))))</f>
        <v/>
      </c>
      <c r="C33" s="5" t="b">
        <v>1</v>
      </c>
      <c r="D33" s="15" t="str">
        <f t="shared" si="7"/>
        <v>R</v>
      </c>
      <c r="E33" s="15" t="str">
        <f t="shared" si="7"/>
        <v>R</v>
      </c>
      <c r="F33" s="15" t="s">
        <v>14</v>
      </c>
      <c r="G33" s="9" t="s">
        <v>7</v>
      </c>
      <c r="H33" s="25"/>
    </row>
    <row r="34" spans="2:8" x14ac:dyDescent="0.25">
      <c r="B34" s="5" t="str">
        <f>IF(OR(Home!$D$7="",Home!$D$8="No"),"",IF(ISBLANK(HLOOKUP(Home!$D$7,$D$2:$F$102,ROW(A33),FALSE)),"",IF(H34="",HLOOKUP(Home!$D$7,$D$2:$F$102,ROW(A33),FALSE),IF(C34=FALSE,"C"))))</f>
        <v/>
      </c>
      <c r="C34" s="5" t="b">
        <v>1</v>
      </c>
      <c r="D34" s="15" t="str">
        <f t="shared" si="7"/>
        <v>R</v>
      </c>
      <c r="E34" s="15" t="str">
        <f t="shared" si="7"/>
        <v>R</v>
      </c>
      <c r="F34" s="15" t="s">
        <v>14</v>
      </c>
      <c r="G34" s="9" t="s">
        <v>29</v>
      </c>
      <c r="H34" s="25"/>
    </row>
    <row r="35" spans="2:8" hidden="1" x14ac:dyDescent="0.25">
      <c r="B35" s="5" t="str">
        <f>IF(OR(Home!$D$7="",Home!$D$8="No"),"",IF(ISBLANK(HLOOKUP(Home!$D$7,$D$2:$F$102,ROW(A34),FALSE)),"",IF(H35="",HLOOKUP(Home!$D$7,$D$2:$F$102,ROW(A34),FALSE),IF(C35=FALSE,"C"))))</f>
        <v/>
      </c>
      <c r="C35" s="5" t="b">
        <f>AND(ISNUMBER(H35+0),LEFT(H35,1)="1")</f>
        <v>0</v>
      </c>
      <c r="D35" s="15" t="str">
        <f>IF(COUNTIF($B$4:$B$7,"R")&gt;0,"",IF($H$5="Yes","Y","R"))</f>
        <v>R</v>
      </c>
      <c r="E35" s="13"/>
      <c r="F35" s="15"/>
      <c r="G35" s="9" t="s">
        <v>10</v>
      </c>
      <c r="H35" s="25"/>
    </row>
    <row r="36" spans="2:8" hidden="1" x14ac:dyDescent="0.25">
      <c r="B36" s="5" t="str">
        <f>IF(OR(Home!$D$7="",Home!$D$8="No"),"",IF(ISBLANK(HLOOKUP(Home!$D$7,$D$2:$F$102,ROW(A35),FALSE)),"",IF(H36="",HLOOKUP(Home!$D$7,$D$2:$F$102,ROW(A35),FALSE),IF(C36=FALSE,"C"))))</f>
        <v/>
      </c>
      <c r="C36" s="5" t="b">
        <f>IF(H36="",TRUE,ISNUMBER(FIND("@",H36,1)+FIND(".",H36,1)))</f>
        <v>1</v>
      </c>
      <c r="D36" s="15" t="str">
        <f>IF(COUNTIF($B$4:$B$7,"R")&gt;0,"",IF($H$5="Yes","Y","R"))</f>
        <v>R</v>
      </c>
      <c r="E36" s="13"/>
      <c r="F36" s="15"/>
      <c r="G36" s="9" t="s">
        <v>9</v>
      </c>
      <c r="H36" s="25"/>
    </row>
    <row r="37" spans="2:8" ht="23.25" hidden="1" customHeight="1" x14ac:dyDescent="0.25">
      <c r="B37" s="5" t="str">
        <f>IF(OR(Home!$D$7="",Home!$D$8="No"),"",IF(ISBLANK(HLOOKUP(Home!$D$7,$D$2:$F$102,ROW(A36),FALSE)),"",IF(H37="",HLOOKUP(Home!$D$7,$D$2:$F$102,ROW(A36),FALSE),IF(C37=FALSE,"C"))))</f>
        <v/>
      </c>
      <c r="C37" s="5" t="b">
        <v>1</v>
      </c>
      <c r="D37" s="15" t="str">
        <f>IF(COUNTIF($B$4:$B$7,"R")&gt;0,"","Y")</f>
        <v>Y</v>
      </c>
      <c r="E37" s="13"/>
      <c r="F37" s="15"/>
      <c r="G37" s="48" t="s">
        <v>81</v>
      </c>
      <c r="H37" s="58"/>
    </row>
    <row r="38" spans="2:8" hidden="1" x14ac:dyDescent="0.25">
      <c r="B38" s="5" t="str">
        <f>IF(OR(Home!$D$7="",Home!$D$8="No"),"",IF(ISBLANK(HLOOKUP(Home!$D$7,$D$2:$F$102,ROW(A37),FALSE)),"",IF(H38="",HLOOKUP(Home!$D$7,$D$2:$F$102,ROW(A37),FALSE),IF(C38=FALSE,"C"))))</f>
        <v/>
      </c>
      <c r="C38" s="5" t="b">
        <v>1</v>
      </c>
      <c r="D38" s="15" t="str">
        <f>IF(COUNTIF($B$4:$B$7,"R")&gt;0,"",IF($H$5="Yes","Y","R"))</f>
        <v>R</v>
      </c>
      <c r="E38" s="13"/>
      <c r="F38" s="15"/>
      <c r="G38" s="9" t="s">
        <v>11</v>
      </c>
      <c r="H38" s="25"/>
    </row>
    <row r="39" spans="2:8" hidden="1" x14ac:dyDescent="0.25">
      <c r="B39" s="5" t="str">
        <f>IF(OR(Home!$D$7="",Home!$D$8="No"),"",IF(ISBLANK(HLOOKUP(Home!$D$7,$D$2:$F$102,ROW(A38),FALSE)),"",IF(H39="",HLOOKUP(Home!$D$7,$D$2:$F$102,ROW(A38),FALSE),IF(C39=FALSE,"C"))))</f>
        <v/>
      </c>
      <c r="C39" s="5" t="b">
        <f>IF(H39="",TRUE,ISNUMBER(FIND("@",H39,1)+FIND(".",H39,1)))</f>
        <v>1</v>
      </c>
      <c r="D39" s="15" t="str">
        <f>IF(COUNTIF($B$4:$B$7,"R")&gt;0,"",IF(LEFT($H$38,5)="Email","R","Y"))</f>
        <v>Y</v>
      </c>
      <c r="E39" s="13"/>
      <c r="F39" s="15"/>
      <c r="G39" s="9" t="str">
        <f>IF(LEFT($H$38,5)="Email","Email for Receiving Orders:","")</f>
        <v/>
      </c>
      <c r="H39" s="25"/>
    </row>
    <row r="40" spans="2:8" hidden="1" x14ac:dyDescent="0.25">
      <c r="B40" s="5" t="str">
        <f>IF(OR(Home!$D$7="",Home!$D$8="No"),"",IF(ISBLANK(HLOOKUP(Home!$D$7,$D$2:$F$102,ROW(A39),FALSE)),"",IF(H40="",HLOOKUP(Home!$D$7,$D$2:$F$102,ROW(A39),FALSE),IF(C40=FALSE,"C"))))</f>
        <v/>
      </c>
      <c r="C40" s="5" t="b">
        <f>ISNUMBER(H40+0)</f>
        <v>1</v>
      </c>
      <c r="D40" s="15" t="str">
        <f>IF(COUNTIF($B$4:$B$7,"R")&gt;0,"",IF($H$38="Fax","R","Y"))</f>
        <v>Y</v>
      </c>
      <c r="E40" s="13"/>
      <c r="F40" s="15"/>
      <c r="G40" s="9" t="str">
        <f>IF($H$38="Fax","Fax Number for Receiving Orders:","")</f>
        <v/>
      </c>
      <c r="H40" s="25"/>
    </row>
    <row r="41" spans="2:8" ht="30" hidden="1" x14ac:dyDescent="0.25">
      <c r="B41" s="5" t="str">
        <f>IF(OR(Home!$D$7="",Home!$D$8="No"),"",IF(ISBLANK(HLOOKUP(Home!$D$7,$D$2:$F$102,ROW(A40),FALSE)),"",IF(H41="",HLOOKUP(Home!$D$7,$D$2:$F$102,ROW(A40),FALSE),IF(C41=FALSE,"C"))))</f>
        <v/>
      </c>
      <c r="C41" s="5" t="b">
        <v>1</v>
      </c>
      <c r="D41" s="15" t="str">
        <f>IF(COUNTIF($B$4:$B$7,"R")&gt;0,"",IF($H$5="Yes","Y","R"))</f>
        <v>R</v>
      </c>
      <c r="E41" s="15"/>
      <c r="F41" s="15"/>
      <c r="G41" s="9" t="s">
        <v>1048</v>
      </c>
      <c r="H41" s="25"/>
    </row>
    <row r="42" spans="2:8" hidden="1" x14ac:dyDescent="0.25">
      <c r="B42" s="5" t="str">
        <f>IF(OR(Home!$D$7="",Home!$D$8="No"),"",IF(ISBLANK(HLOOKUP(Home!$D$7,$D$2:$F$102,ROW(A41),FALSE)),"",IF(H42="",HLOOKUP(Home!$D$7,$D$2:$F$102,ROW(A41),FALSE),IF(C42=FALSE,"C"))))</f>
        <v/>
      </c>
      <c r="C42" s="5" t="b">
        <f>LEN(H42)&lt;=35</f>
        <v>1</v>
      </c>
      <c r="D42" s="15" t="str">
        <f>IF(COUNTIF($B$4:$B$7,"R")&gt;0,"",IF(OR($H$5="Yes",$H$41="Yes",$H$41=""),"Y","R"))</f>
        <v>Y</v>
      </c>
      <c r="E42" s="13"/>
      <c r="F42" s="15"/>
      <c r="G42" s="9" t="str">
        <f>IF($H$41="No","Address Line 1:","")</f>
        <v/>
      </c>
      <c r="H42" s="25"/>
    </row>
    <row r="43" spans="2:8" hidden="1" x14ac:dyDescent="0.25">
      <c r="B43" s="5" t="str">
        <f>IF(OR(Home!$D$7="",Home!$D$8="No"),"",IF(ISBLANK(HLOOKUP(Home!$D$7,$D$2:$F$102,ROW(A42),FALSE)),"",IF(H43="",HLOOKUP(Home!$D$7,$D$2:$F$102,ROW(A42),FALSE),IF(C43=FALSE,"C"))))</f>
        <v/>
      </c>
      <c r="C43" s="5" t="b">
        <f>LEN(H43)&lt;=35</f>
        <v>1</v>
      </c>
      <c r="D43" s="15" t="str">
        <f>IF(COUNTIF($B$4:$B$7,"R")&gt;0,"","Y")</f>
        <v>Y</v>
      </c>
      <c r="E43" s="13"/>
      <c r="F43" s="15"/>
      <c r="G43" s="9" t="str">
        <f>IF($H$41="No","Address Line 2:","")</f>
        <v/>
      </c>
      <c r="H43" s="25"/>
    </row>
    <row r="44" spans="2:8" hidden="1" x14ac:dyDescent="0.25">
      <c r="B44" s="5" t="str">
        <f>IF(OR(Home!$D$7="",Home!$D$8="No"),"",IF(ISBLANK(HLOOKUP(Home!$D$7,$D$2:$F$102,ROW(A43),FALSE)),"",IF(H44="",HLOOKUP(Home!$D$7,$D$2:$F$102,ROW(A43),FALSE),IF(C44=FALSE,"C"))))</f>
        <v/>
      </c>
      <c r="C44" s="5" t="b">
        <v>1</v>
      </c>
      <c r="D44" s="15" t="str">
        <f>IF(COUNTIF($B$4:$B$7,"R")&gt;0,"",IF(OR($H$5="Yes",$H$41="Yes",$H$41=""),"Y","R"))</f>
        <v>Y</v>
      </c>
      <c r="E44" s="13"/>
      <c r="F44" s="15"/>
      <c r="G44" s="9" t="str">
        <f>IF($H$41="No","City:","")</f>
        <v/>
      </c>
      <c r="H44" s="25"/>
    </row>
    <row r="45" spans="2:8" hidden="1" x14ac:dyDescent="0.25">
      <c r="B45" s="5" t="str">
        <f>IF(OR(Home!$D$7="",Home!$D$8="No"),"",IF(ISBLANK(HLOOKUP(Home!$D$7,$D$2:$F$102,ROW(A44),FALSE)),"",IF(H45="",HLOOKUP(Home!$D$7,$D$2:$F$102,ROW(A44),FALSE),IF(C45=FALSE,"C"))))</f>
        <v/>
      </c>
      <c r="C45" s="5" t="b">
        <v>1</v>
      </c>
      <c r="D45" s="15" t="str">
        <f>IF(COUNTIF($B$4:$B$7,"R")&gt;0,"",IF(OR($H$5="Yes",$H$41="Yes",$H$41=""),"Y","R"))</f>
        <v>Y</v>
      </c>
      <c r="E45" s="13"/>
      <c r="F45" s="15"/>
      <c r="G45" s="9" t="str">
        <f>IF($H$41="No","State:","")</f>
        <v/>
      </c>
      <c r="H45" s="25"/>
    </row>
    <row r="46" spans="2:8" hidden="1" x14ac:dyDescent="0.25">
      <c r="B46" s="5" t="str">
        <f>IF(OR(Home!$D$7="",Home!$D$8="No"),"",IF(ISBLANK(HLOOKUP(Home!$D$7,$D$2:$F$102,ROW(A45),FALSE)),"",IF(H46="",HLOOKUP(Home!$D$7,$D$2:$F$102,ROW(A45),FALSE),IF(C46=FALSE,"C"))))</f>
        <v/>
      </c>
      <c r="C46" s="5" t="b">
        <v>1</v>
      </c>
      <c r="D46" s="15" t="str">
        <f>IF(COUNTIF($B$4:$B$7,"R")&gt;0,"",IF(OR($H$5="Yes",$H$41="Yes",$H$41=""),"Y","R"))</f>
        <v>Y</v>
      </c>
      <c r="E46" s="13"/>
      <c r="F46" s="15"/>
      <c r="G46" s="9" t="str">
        <f>IF($H$41="No","ZIP Code:","")</f>
        <v/>
      </c>
      <c r="H46" s="25"/>
    </row>
    <row r="47" spans="2:8" hidden="1" x14ac:dyDescent="0.25">
      <c r="B47" s="5" t="str">
        <f>IF(OR(Home!$D$7="",Home!$D$8="No"),"",IF(ISBLANK(HLOOKUP(Home!$D$7,$D$2:$F$102,ROW(A46),FALSE)),"",IF(H47="",HLOOKUP(Home!$D$7,$D$2:$F$102,ROW(A46),FALSE),IF(C47=FALSE,"C"))))</f>
        <v/>
      </c>
      <c r="C47" s="5" t="b">
        <f>AND(ISNUMBER(H47+0),LEFT(H47,1)="1")</f>
        <v>0</v>
      </c>
      <c r="D47" s="15" t="str">
        <f>IF(COUNTIF($B$4:$B$7,"R")&gt;0,"",IF(OR($H$5="Yes",$H$41="Yes",$H$41=""),"Y","R"))</f>
        <v>Y</v>
      </c>
      <c r="E47" s="13"/>
      <c r="F47" s="15"/>
      <c r="G47" s="9" t="str">
        <f>IF($H$41="No","Phone:","")</f>
        <v/>
      </c>
      <c r="H47" s="25"/>
    </row>
    <row r="48" spans="2:8" ht="23.25" customHeight="1" x14ac:dyDescent="0.25">
      <c r="B48" s="5" t="str">
        <f>IF(OR(Home!$D$7="",Home!$D$8="No"),"",IF(ISBLANK(HLOOKUP(Home!$D$7,$D$2:$F$102,ROW(A47),FALSE)),"",IF(H48="",HLOOKUP(Home!$D$7,$D$2:$F$102,ROW(A47),FALSE),IF(C48=FALSE,"C"))))</f>
        <v/>
      </c>
      <c r="C48" s="5" t="b">
        <v>1</v>
      </c>
      <c r="D48" s="15" t="str">
        <f t="shared" ref="D48:E48" si="8">IF(COUNTIF($B$4:$B$7,"R")&gt;0,"","Y")</f>
        <v>Y</v>
      </c>
      <c r="E48" s="15" t="str">
        <f t="shared" si="8"/>
        <v>Y</v>
      </c>
      <c r="F48" s="15"/>
      <c r="G48" s="48" t="s">
        <v>80</v>
      </c>
      <c r="H48" s="58"/>
    </row>
    <row r="49" spans="2:8" ht="33.75" customHeight="1" x14ac:dyDescent="0.25">
      <c r="B49" s="5" t="str">
        <f>IF(OR(Home!$D$7="",Home!$D$8="No"),"",IF(ISBLANK(HLOOKUP(Home!$D$7,$D$2:$F$102,ROW(A48),FALSE)),"",IF(H49="",HLOOKUP(Home!$D$7,$D$2:$F$102,ROW(A48),FALSE),IF(C49=FALSE,"C"))))</f>
        <v/>
      </c>
      <c r="C49" s="5" t="b">
        <v>1</v>
      </c>
      <c r="D49" s="15" t="str">
        <f>IF(COUNTIF($B$4:$B$7,"R")&gt;0,"",IF($H$5="Yes","Y","R"))</f>
        <v>R</v>
      </c>
      <c r="E49" s="15" t="str">
        <f>IF(COUNTIF($B$4:$B$7,"R")&gt;0,"",IF($H$5="Yes","Y","R"))</f>
        <v>R</v>
      </c>
      <c r="F49" s="15"/>
      <c r="G49" s="9" t="s">
        <v>1049</v>
      </c>
      <c r="H49" s="25"/>
    </row>
    <row r="50" spans="2:8" x14ac:dyDescent="0.25">
      <c r="B50" s="5" t="str">
        <f>IF(OR(Home!$D$7="",Home!$D$8="No"),"",IF(ISBLANK(HLOOKUP(Home!$D$7,$D$2:$F$102,ROW(A49),FALSE)),"",IF(H50="",HLOOKUP(Home!$D$7,$D$2:$F$102,ROW(A49),FALSE),IF(C50=FALSE,"C"))))</f>
        <v/>
      </c>
      <c r="C50" s="5" t="b">
        <f>LEN(H50)&lt;=35</f>
        <v>1</v>
      </c>
      <c r="D50" s="15" t="str">
        <f>IF(COUNTIF($B$4:$B$7,"R")&gt;0,"",IF(OR($H$5="Yes",$H$49="Yes",$H$49=""),"Y","R"))</f>
        <v>Y</v>
      </c>
      <c r="E50" s="15" t="str">
        <f>IF(COUNTIF($B$4:$B$7,"R")&gt;0,"",IF(OR($H$5="Yes",$H$49="Yes",$H$49=""),"Y","R"))</f>
        <v>Y</v>
      </c>
      <c r="F50" s="15"/>
      <c r="G50" s="9" t="str">
        <f>IF($H$49="No","Address Line 1:","")</f>
        <v/>
      </c>
      <c r="H50" s="25"/>
    </row>
    <row r="51" spans="2:8" x14ac:dyDescent="0.25">
      <c r="B51" s="5" t="str">
        <f>IF(OR(Home!$D$7="",Home!$D$8="No"),"",IF(ISBLANK(HLOOKUP(Home!$D$7,$D$2:$F$102,ROW(A50),FALSE)),"",IF(H51="",HLOOKUP(Home!$D$7,$D$2:$F$102,ROW(A50),FALSE),IF(C51=FALSE,"C"))))</f>
        <v/>
      </c>
      <c r="C51" s="5" t="b">
        <f>LEN(H51)&lt;=35</f>
        <v>1</v>
      </c>
      <c r="D51" s="15" t="str">
        <f t="shared" ref="D51:E51" si="9">IF(COUNTIF($B$4:$B$7,"R")&gt;0,"","Y")</f>
        <v>Y</v>
      </c>
      <c r="E51" s="15" t="str">
        <f t="shared" si="9"/>
        <v>Y</v>
      </c>
      <c r="F51" s="15"/>
      <c r="G51" s="9" t="str">
        <f>IF($H$49="No","Address Line 2:","")</f>
        <v/>
      </c>
      <c r="H51" s="25"/>
    </row>
    <row r="52" spans="2:8" x14ac:dyDescent="0.25">
      <c r="B52" s="5" t="str">
        <f>IF(OR(Home!$D$7="",Home!$D$8="No"),"",IF(ISBLANK(HLOOKUP(Home!$D$7,$D$2:$F$102,ROW(A51),FALSE)),"",IF(H52="",HLOOKUP(Home!$D$7,$D$2:$F$102,ROW(A51),FALSE),IF(C52=FALSE,"C"))))</f>
        <v/>
      </c>
      <c r="C52" s="5" t="b">
        <v>1</v>
      </c>
      <c r="D52" s="15" t="str">
        <f t="shared" ref="D52:E56" si="10">IF(COUNTIF($B$4:$B$7,"R")&gt;0,"",IF(OR($H$5="Yes",$H$49="Yes",$H$49=""),"Y","R"))</f>
        <v>Y</v>
      </c>
      <c r="E52" s="15" t="str">
        <f t="shared" si="10"/>
        <v>Y</v>
      </c>
      <c r="F52" s="15"/>
      <c r="G52" s="9" t="str">
        <f>IF($H$49="No","City:","")</f>
        <v/>
      </c>
      <c r="H52" s="25"/>
    </row>
    <row r="53" spans="2:8" x14ac:dyDescent="0.25">
      <c r="B53" s="5" t="str">
        <f>IF(OR(Home!$D$7="",Home!$D$8="No"),"",IF(ISBLANK(HLOOKUP(Home!$D$7,$D$2:$F$102,ROW(A52),FALSE)),"",IF(H53="",HLOOKUP(Home!$D$7,$D$2:$F$102,ROW(A52),FALSE),IF(C53=FALSE,"C"))))</f>
        <v/>
      </c>
      <c r="C53" s="5" t="b">
        <v>1</v>
      </c>
      <c r="D53" s="15" t="str">
        <f t="shared" si="10"/>
        <v>Y</v>
      </c>
      <c r="E53" s="15" t="str">
        <f t="shared" si="10"/>
        <v>Y</v>
      </c>
      <c r="F53" s="15"/>
      <c r="G53" s="9" t="str">
        <f>IF($H$49="No","State:","")</f>
        <v/>
      </c>
      <c r="H53" s="25"/>
    </row>
    <row r="54" spans="2:8" x14ac:dyDescent="0.25">
      <c r="B54" s="5" t="str">
        <f>IF(OR(Home!$D$7="",Home!$D$8="No"),"",IF(ISBLANK(HLOOKUP(Home!$D$7,$D$2:$F$102,ROW(A53),FALSE)),"",IF(H54="",HLOOKUP(Home!$D$7,$D$2:$F$102,ROW(A53),FALSE),IF(C54=FALSE,"C"))))</f>
        <v/>
      </c>
      <c r="C54" s="5" t="b">
        <v>1</v>
      </c>
      <c r="D54" s="15" t="str">
        <f t="shared" si="10"/>
        <v>Y</v>
      </c>
      <c r="E54" s="15" t="str">
        <f t="shared" si="10"/>
        <v>Y</v>
      </c>
      <c r="F54" s="15"/>
      <c r="G54" s="9" t="str">
        <f>IF($H$49="No","ZIP Code:","")</f>
        <v/>
      </c>
      <c r="H54" s="25"/>
    </row>
    <row r="55" spans="2:8" x14ac:dyDescent="0.25">
      <c r="B55" s="5" t="str">
        <f>IF(OR(Home!$D$7="",Home!$D$8="No"),"",IF(ISBLANK(HLOOKUP(Home!$D$7,$D$2:$F$102,ROW(A54),FALSE)),"",IF(H55="",HLOOKUP(Home!$D$7,$D$2:$F$102,ROW(A54),FALSE),IF(C55=FALSE,"C"))))</f>
        <v/>
      </c>
      <c r="C55" s="5" t="b">
        <f>AND(ISNUMBER(H55+0),LEFT(H55,1)="1")</f>
        <v>0</v>
      </c>
      <c r="D55" s="15" t="str">
        <f t="shared" si="10"/>
        <v>Y</v>
      </c>
      <c r="E55" s="15" t="str">
        <f t="shared" si="10"/>
        <v>Y</v>
      </c>
      <c r="F55" s="15"/>
      <c r="G55" s="9" t="str">
        <f>IF($H$49="No","Phone:","")</f>
        <v/>
      </c>
      <c r="H55" s="25"/>
    </row>
    <row r="56" spans="2:8" x14ac:dyDescent="0.25">
      <c r="B56" s="5" t="str">
        <f>IF(OR(Home!$D$7="",Home!$D$8="No"),"",IF(ISBLANK(HLOOKUP(Home!$D$7,$D$2:$F$102,ROW(A55),FALSE)),"",IF(H56="",HLOOKUP(Home!$D$7,$D$2:$F$102,ROW(A55),FALSE),IF(C56=FALSE,"C"))))</f>
        <v/>
      </c>
      <c r="C56" s="5" t="b">
        <f>IF(H56="",TRUE,ISNUMBER(FIND("@",H56,1)+FIND(".",H56,1)))</f>
        <v>1</v>
      </c>
      <c r="D56" s="15" t="str">
        <f t="shared" si="10"/>
        <v>Y</v>
      </c>
      <c r="E56" s="15" t="str">
        <f t="shared" si="10"/>
        <v>Y</v>
      </c>
      <c r="F56" s="15"/>
      <c r="G56" s="9" t="str">
        <f>IF($H$49="No","Email:","")</f>
        <v/>
      </c>
      <c r="H56" s="25"/>
    </row>
    <row r="57" spans="2:8" ht="23.25" customHeight="1" x14ac:dyDescent="0.25">
      <c r="B57" s="5" t="str">
        <f>IF(OR(Home!$D$7="",Home!$D$8="No"),"",IF(ISBLANK(HLOOKUP(Home!$D$7,$D$2:$F$102,ROW(A56),FALSE)),"",IF(H57="",HLOOKUP(Home!$D$7,$D$2:$F$102,ROW(A56),FALSE),IF(C57=FALSE,"C"))))</f>
        <v/>
      </c>
      <c r="C57" s="5" t="b">
        <v>1</v>
      </c>
      <c r="D57" s="15" t="str">
        <f t="shared" ref="D57:E58" si="11">IF(COUNTIF($B$4:$B$7,"R")&gt;0,"","Y")</f>
        <v>Y</v>
      </c>
      <c r="E57" s="15" t="str">
        <f t="shared" si="11"/>
        <v>Y</v>
      </c>
      <c r="F57" s="15" t="s">
        <v>22</v>
      </c>
      <c r="G57" s="48" t="s">
        <v>12</v>
      </c>
      <c r="H57" s="58"/>
    </row>
    <row r="58" spans="2:8" x14ac:dyDescent="0.25">
      <c r="B58" s="5" t="str">
        <f>IF(OR(Home!$D$7="",Home!$D$8="No"),"",IF(ISBLANK(HLOOKUP(Home!$D$7,$D$2:$F$102,ROW(A57),FALSE)),"",IF(H58="",HLOOKUP(Home!$D$7,$D$2:$F$102,ROW(A57),FALSE),IF(C58=FALSE,"C"))))</f>
        <v/>
      </c>
      <c r="C58" s="5" t="b">
        <v>1</v>
      </c>
      <c r="D58" s="15" t="str">
        <f t="shared" si="11"/>
        <v>Y</v>
      </c>
      <c r="E58" s="15" t="str">
        <f t="shared" si="11"/>
        <v>Y</v>
      </c>
      <c r="F58" s="15" t="s">
        <v>22</v>
      </c>
      <c r="G58" s="59" t="s">
        <v>18</v>
      </c>
      <c r="H58" s="60"/>
    </row>
    <row r="59" spans="2:8" ht="45" x14ac:dyDescent="0.25">
      <c r="B59" s="5" t="str">
        <f>IF(OR(Home!$D$7="",Home!$D$8="No"),"",IF(ISBLANK(HLOOKUP(Home!$D$7,$D$2:$F$102,ROW(A58),FALSE)),"",IF(H59="",HLOOKUP(Home!$D$7,$D$2:$F$102,ROW(A58),FALSE),IF(C59=FALSE,"C"))))</f>
        <v/>
      </c>
      <c r="C59" s="5" t="b">
        <v>1</v>
      </c>
      <c r="D59" s="15" t="str">
        <f t="shared" ref="D59:E64" si="12">IF(COUNTIF($B$4:$B$7,"R")&gt;0,"",IF($H$5="Yes","Y","R"))</f>
        <v>R</v>
      </c>
      <c r="E59" s="15" t="str">
        <f t="shared" si="12"/>
        <v>R</v>
      </c>
      <c r="F59" s="15" t="s">
        <v>14</v>
      </c>
      <c r="G59" s="9" t="s">
        <v>13</v>
      </c>
      <c r="H59" s="25"/>
    </row>
    <row r="60" spans="2:8" ht="90" x14ac:dyDescent="0.25">
      <c r="B60" s="5" t="str">
        <f>IF(OR(Home!$D$7="",Home!$D$8="No"),"",IF(ISBLANK(HLOOKUP(Home!$D$7,$D$2:$F$102,ROW(A59),FALSE)),"",IF(H60="",HLOOKUP(Home!$D$7,$D$2:$F$102,ROW(A59),FALSE),IF(C60=FALSE,"C"))))</f>
        <v/>
      </c>
      <c r="C60" s="5" t="b">
        <v>1</v>
      </c>
      <c r="D60" s="15" t="str">
        <f t="shared" si="12"/>
        <v>R</v>
      </c>
      <c r="E60" s="15" t="str">
        <f t="shared" si="12"/>
        <v>R</v>
      </c>
      <c r="F60" s="15" t="s">
        <v>14</v>
      </c>
      <c r="G60" s="9" t="s">
        <v>1053</v>
      </c>
      <c r="H60" s="25"/>
    </row>
    <row r="61" spans="2:8" ht="45" hidden="1" x14ac:dyDescent="0.25">
      <c r="B61" s="5" t="str">
        <f>IF(OR(Home!$D$7="",Home!$D$8="No"),"",IF(ISBLANK(HLOOKUP(Home!$D$7,$D$2:$F$102,ROW(A60),FALSE)),"",IF(H61="",HLOOKUP(Home!$D$7,$D$2:$F$102,ROW(A60),FALSE),IF(C61=FALSE,"C"))))</f>
        <v/>
      </c>
      <c r="C61" s="5" t="b">
        <v>1</v>
      </c>
      <c r="D61" s="15" t="str">
        <f t="shared" si="12"/>
        <v>R</v>
      </c>
      <c r="E61" s="15"/>
      <c r="F61" s="15"/>
      <c r="G61" s="9" t="s">
        <v>1052</v>
      </c>
      <c r="H61" s="25"/>
    </row>
    <row r="62" spans="2:8" ht="90" hidden="1" x14ac:dyDescent="0.25">
      <c r="B62" s="5" t="str">
        <f>IF(OR(Home!$D$7="",Home!$D$8="No"),"",IF(ISBLANK(HLOOKUP(Home!$D$7,$D$2:$F$102,ROW(A61),FALSE)),"",IF(H62="",HLOOKUP(Home!$D$7,$D$2:$F$102,ROW(A61),FALSE),IF(C62=FALSE,"C"))))</f>
        <v/>
      </c>
      <c r="C62" s="5" t="b">
        <v>1</v>
      </c>
      <c r="D62" s="15" t="str">
        <f t="shared" si="12"/>
        <v>R</v>
      </c>
      <c r="E62" s="15"/>
      <c r="F62" s="15"/>
      <c r="G62" s="9" t="s">
        <v>96</v>
      </c>
      <c r="H62" s="25"/>
    </row>
    <row r="63" spans="2:8" x14ac:dyDescent="0.25">
      <c r="B63" s="5" t="str">
        <f>IF(OR(Home!$D$7="",Home!$D$8="No"),"",IF(ISBLANK(HLOOKUP(Home!$D$7,$D$2:$F$102,ROW(A62),FALSE)),"",IF(H63="",HLOOKUP(Home!$D$7,$D$2:$F$102,ROW(A62),FALSE),IF(C63=FALSE,"C"))))</f>
        <v/>
      </c>
      <c r="C63" s="5" t="b">
        <v>1</v>
      </c>
      <c r="D63" s="15" t="str">
        <f t="shared" si="12"/>
        <v>R</v>
      </c>
      <c r="E63" s="15" t="str">
        <f t="shared" si="12"/>
        <v>R</v>
      </c>
      <c r="F63" s="15"/>
      <c r="G63" s="9" t="str">
        <f>IF(Home!$D$7="Company","5. Are you or any Officer, Owner or Partner in this company an employee of Emory University?",IF(Home!$D$7="Individual","5. Are you an employee of Emory University?",""))</f>
        <v/>
      </c>
      <c r="H63" s="25"/>
    </row>
    <row r="64" spans="2:8" ht="76.150000000000006" customHeight="1" x14ac:dyDescent="0.25">
      <c r="B64" s="5" t="str">
        <f>IF(OR(Home!$D$7="",Home!$D$8="No"),"",IF(ISBLANK(HLOOKUP(Home!$D$7,$D$2:$F$102,ROW(A63),FALSE)),"",IF(H64="",HLOOKUP(Home!$D$7,$D$2:$F$102,ROW(A63),FALSE),IF(C64=FALSE,"C"))))</f>
        <v/>
      </c>
      <c r="C64" s="5" t="b">
        <v>1</v>
      </c>
      <c r="D64" s="15" t="str">
        <f t="shared" si="12"/>
        <v>R</v>
      </c>
      <c r="E64" s="15" t="str">
        <f t="shared" si="12"/>
        <v>R</v>
      </c>
      <c r="F64" s="15"/>
      <c r="G64" s="35"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4" s="25"/>
    </row>
    <row r="65" spans="2:8" ht="30.75" customHeight="1" x14ac:dyDescent="0.25">
      <c r="B65" s="5" t="str">
        <f>IF(OR(Home!$D$7="",Home!$D$8="No"),"",IF(ISBLANK(HLOOKUP(Home!$D$7,$D$2:$F$102,ROW(A64),FALSE)),"",IF(H65="",HLOOKUP(Home!$D$7,$D$2:$F$102,ROW(A64),FALSE),IF(C65=FALSE,"C"))))</f>
        <v/>
      </c>
      <c r="C65" s="5" t="b">
        <v>1</v>
      </c>
      <c r="D65" s="15" t="str">
        <f>IF(COUNTIF($B$4:$B$7,"R")&gt;0,"",IF($H$64="Yes","R","Y"))</f>
        <v>Y</v>
      </c>
      <c r="E65" s="15" t="str">
        <f>IF(COUNTIF($B$4:$B$7,"R")&gt;0,"",IF($H$64="Yes","R","Y"))</f>
        <v>Y</v>
      </c>
      <c r="F65" s="15"/>
      <c r="G65" s="9" t="str">
        <f>IF($H$64="Yes","6a. Please provide the name of the direct family member who is an Emory University employee:","")</f>
        <v/>
      </c>
      <c r="H65" s="25"/>
    </row>
    <row r="66" spans="2:8" ht="30.75" customHeight="1" x14ac:dyDescent="0.25">
      <c r="B66" s="5" t="str">
        <f>IF(OR(Home!$D$7="",Home!$D$8="No"),"",IF(ISBLANK(HLOOKUP(Home!$D$7,$D$2:$F$102,ROW(A65),FALSE)),"",IF(H66="",HLOOKUP(Home!$D$7,$D$2:$F$102,ROW(A65),FALSE),IF(C66=FALSE,"C"))))</f>
        <v/>
      </c>
      <c r="C66" s="5" t="b">
        <v>1</v>
      </c>
      <c r="D66" s="15" t="str">
        <f>IF(COUNTIF($B$4:$B$7,"R")&gt;0,"",IF($H$64="Yes","R","Y"))</f>
        <v>Y</v>
      </c>
      <c r="E66" s="15" t="str">
        <f>IF(COUNTIF($B$4:$B$7,"R")&gt;0,"",IF($H$64="Yes","R","Y"))</f>
        <v>Y</v>
      </c>
      <c r="F66" s="15"/>
      <c r="G66" s="9" t="str">
        <f>IF($H$64="Yes","6b. Please provide the relationship of the direct family member to the Emory University Employee:","")</f>
        <v/>
      </c>
      <c r="H66" s="25"/>
    </row>
    <row r="67" spans="2:8" ht="75" hidden="1" x14ac:dyDescent="0.25">
      <c r="B67" s="5" t="str">
        <f>IF(OR(Home!$D$7="",Home!$D$8="No"),"",IF(ISBLANK(HLOOKUP(Home!$D$7,$D$2:$F$102,ROW(A66),FALSE)),"",IF(H67="",HLOOKUP(Home!$D$7,$D$2:$F$102,ROW(A66),FALSE),IF(C67=FALSE,"C"))))</f>
        <v/>
      </c>
      <c r="C67" s="5" t="b">
        <v>1</v>
      </c>
      <c r="D67" s="15" t="str">
        <f>IF(COUNTIF($B$4:$B$7,"R")&gt;0,"",IF($H$5="Yes","Y","R"))</f>
        <v>R</v>
      </c>
      <c r="E67" s="13"/>
      <c r="F67" s="15"/>
      <c r="G67" s="9" t="s">
        <v>1047</v>
      </c>
      <c r="H67" s="25"/>
    </row>
    <row r="68" spans="2:8" ht="45.75" hidden="1" customHeight="1" x14ac:dyDescent="0.25">
      <c r="B68" s="5" t="str">
        <f>IF(OR(Home!$D$7="",Home!$D$8="No"),"",IF(ISBLANK(HLOOKUP(Home!$D$7,$D$2:$F$102,ROW(A67),FALSE)),"",IF(H68="",HLOOKUP(Home!$D$7,$D$2:$F$102,ROW(A67),FALSE),IF(C68=FALSE,"C"))))</f>
        <v/>
      </c>
      <c r="C68" s="5" t="b">
        <f>IF(H68="",TRUE,ISNUMBER(FIND("@",H68,1)+FIND(".",H68,1)))</f>
        <v>1</v>
      </c>
      <c r="D68" s="15" t="str">
        <f>IF(COUNTIF($B$4:$B$7,"R")&gt;0,"",IF($H$67='Drop Down'!$D$2,"R","Y"))</f>
        <v>Y</v>
      </c>
      <c r="E68" s="13"/>
      <c r="F68" s="15"/>
      <c r="G68" s="9" t="str">
        <f>IF($H$67='Drop Down'!$D$2,"7a. Please provide the email address where you would want us to send the notification of our payment to you for SUA Payments.","")</f>
        <v/>
      </c>
      <c r="H68" s="26"/>
    </row>
    <row r="69" spans="2:8" ht="29.45" hidden="1" customHeight="1" x14ac:dyDescent="0.25">
      <c r="B69" s="5" t="str">
        <f>IF(OR(Home!$D$7="",Home!$D$8="No"),"",IF(ISBLANK(HLOOKUP(Home!$D$7,$D$2:$F$102,ROW(A68),FALSE)),"",IF(H69="",HLOOKUP(Home!$D$7,$D$2:$F$102,ROW(A68),FALSE),IF(C69=FALSE,"C"))))</f>
        <v/>
      </c>
      <c r="C69" s="5" t="b">
        <v>1</v>
      </c>
      <c r="D69" s="15" t="str">
        <f>IF(COUNTIF($B$4:$B$7,"R")&gt;0,"",IF($H$67='Drop Down'!$D$5,"R","Y"))</f>
        <v>Y</v>
      </c>
      <c r="E69" s="13"/>
      <c r="F69" s="15"/>
      <c r="G69" s="9" t="str">
        <f>IF($H$67='Drop Down'!$D$5,"7b. Please specify the payment terms that is stated in the contract with Emory.","")</f>
        <v/>
      </c>
      <c r="H69" s="37"/>
    </row>
    <row r="70" spans="2:8" ht="44.45" hidden="1" customHeight="1" x14ac:dyDescent="0.25">
      <c r="B70" s="5" t="str">
        <f>IF(OR(Home!$D$7="",Home!$D$8="No"),"",IF(ISBLANK(HLOOKUP(Home!$D$7,$D$2:$F$102,ROW(A69),FALSE)),"",IF(H70="",HLOOKUP(Home!$D$7,$D$2:$F$102,ROW(A69),FALSE),IF(C70=FALSE,"C"))))</f>
        <v/>
      </c>
      <c r="C70" s="5" t="b">
        <v>1</v>
      </c>
      <c r="D70" s="15" t="str">
        <f>IF(COUNTIF($B$4:$B$7,"R")&gt;0,"",IF($H$67='Drop Down'!$D$5,"R","Y"))</f>
        <v>Y</v>
      </c>
      <c r="E70" s="13"/>
      <c r="F70" s="15"/>
      <c r="G70" s="9" t="str">
        <f>IF($H$67='Drop Down'!$D$5,"7c. When submitting this form, please validate you will submit a copy of the fully executed contract containing the payment term language.","")</f>
        <v/>
      </c>
      <c r="H70" s="37"/>
    </row>
    <row r="71" spans="2:8" ht="31.15" hidden="1" customHeight="1" x14ac:dyDescent="0.25">
      <c r="B71" s="5" t="str">
        <f>IF(OR(Home!$D$7="",Home!$D$8="No"),"",IF(ISBLANK(HLOOKUP(Home!$D$7,$D$2:$F$102,ROW(A70),FALSE)),"",IF(H71="",HLOOKUP(Home!$D$7,$D$2:$F$102,ROW(A70),FALSE),IF(C71=FALSE,"C"))))</f>
        <v/>
      </c>
      <c r="C71" s="5" t="b">
        <v>1</v>
      </c>
      <c r="D71" s="15" t="str">
        <f>IF(COUNTIF($B$4:$B$7,"R")&gt;0,"",IF($H$67='Drop Down'!$D$5,"R","Y"))</f>
        <v>Y</v>
      </c>
      <c r="E71" s="13"/>
      <c r="F71" s="15"/>
      <c r="G71" s="9" t="str">
        <f>IF($H$67='Drop Down'!$D$5,"7d. Please indicate what page number within the fully executed contract, the payment terms can be found.","")</f>
        <v/>
      </c>
      <c r="H71" s="36"/>
    </row>
    <row r="72" spans="2:8" ht="77.25" customHeight="1" x14ac:dyDescent="0.25">
      <c r="B72" s="5" t="str">
        <f>IF(OR(Home!$D$7="",Home!$D$8="No"),"",IF(ISBLANK(HLOOKUP(Home!$D$7,$D$2:$F$102,ROW(A71),FALSE)),"",IF(H72="",HLOOKUP(Home!$D$7,$D$2:$F$102,ROW(A71),FALSE),IF(C72=FALSE,"C"))))</f>
        <v/>
      </c>
      <c r="C72" s="5" t="b">
        <v>1</v>
      </c>
      <c r="D72" s="15" t="str">
        <f>IF(COUNTIF($B$4:$B$7,"R")&gt;0,"",IF(OR($H$5="Yes",$H$67="",RIGHT($H$67,8)="Program."),"Y","R"))</f>
        <v>Y</v>
      </c>
      <c r="E72" s="15" t="str">
        <f t="shared" ref="E72" si="13">IF(COUNTIF($B$4:$B$7,"R")&gt;0,"",IF($H$5="Yes","Y","R"))</f>
        <v>R</v>
      </c>
      <c r="F72" s="15" t="s">
        <v>14</v>
      </c>
      <c r="G72" s="9" t="str">
        <f>IF(AND(Home!$D$7="Company",OR($H$67="",RIGHT($H$67,8)="Program.")),"",CONCATENATE("8. Do you want to be paid via ACH/Direct Deposit? If No is selected, payment will be remitted via check sent to the billing address provided above."," Please note that payments via check take significantly longer to process in comparision to ACH/Direct Deposit."))</f>
        <v>8. Do you want to be paid via ACH/Direct Deposit? If No is selected, payment will be remitted via check sent to the billing address provided above. Please note that payments via check take significantly longer to process in comparision to ACH/Direct Deposit.</v>
      </c>
      <c r="H72" s="25"/>
    </row>
    <row r="73" spans="2:8" ht="90" hidden="1" x14ac:dyDescent="0.25">
      <c r="B73" s="5" t="str">
        <f>IF(OR(Home!$D$7="",Home!$D$8="No"),"",IF(ISBLANK(HLOOKUP(Home!$D$7,$D$2:$F$102,ROW(A72),FALSE)),"",IF(H73="",HLOOKUP(Home!$D$7,$D$2:$F$102,ROW(A72),FALSE),IF(C73=FALSE,"C"))))</f>
        <v/>
      </c>
      <c r="C73" s="5" t="b">
        <v>1</v>
      </c>
      <c r="D73" s="15" t="str">
        <f>IF(COUNTIF($B$4:$B$7,"R")&gt;0,"",IF($H$5="Yes","Y","R"))</f>
        <v>R</v>
      </c>
      <c r="E73" s="13"/>
      <c r="F73" s="15"/>
      <c r="G73" s="9" t="s">
        <v>1046</v>
      </c>
      <c r="H73" s="25"/>
    </row>
    <row r="74" spans="2:8" ht="45" x14ac:dyDescent="0.25">
      <c r="B74" s="5" t="str">
        <f>IF(OR(Home!$D$7="",Home!$D$8="No"),"",IF(ISBLANK(HLOOKUP(Home!$D$7,$D$2:$F$102,ROW(A73),FALSE)),"",IF(H74="",HLOOKUP(Home!$D$7,$D$2:$F$102,ROW(A73),FALSE),IF(C74=FALSE,"C"))))</f>
        <v/>
      </c>
      <c r="C74" s="5" t="b">
        <v>1</v>
      </c>
      <c r="D74" s="15" t="str">
        <f t="shared" ref="D74:E76" si="14">IF(COUNTIF($B$4:$B$7,"R")&gt;0,"",IF($H$5="Yes","Y","R"))</f>
        <v>R</v>
      </c>
      <c r="E74" s="15" t="str">
        <f t="shared" si="14"/>
        <v>R</v>
      </c>
      <c r="F74" s="15" t="s">
        <v>14</v>
      </c>
      <c r="G74" s="9" t="s">
        <v>82</v>
      </c>
      <c r="H74" s="25"/>
    </row>
    <row r="75" spans="2:8" ht="155.25" customHeight="1" x14ac:dyDescent="0.25">
      <c r="B75" s="5" t="str">
        <f>IF(OR(Home!$D$7="",Home!$D$8="No"),"",IF(ISBLANK(HLOOKUP(Home!$D$7,$D$2:$F$102,ROW(A74),FALSE)),"",IF(H75="",HLOOKUP(Home!$D$7,$D$2:$F$102,ROW(A74),FALSE),IF(C75=FALSE,"C"))))</f>
        <v/>
      </c>
      <c r="C75" s="1" t="b">
        <v>1</v>
      </c>
      <c r="D75" s="15" t="str">
        <f t="shared" si="14"/>
        <v>R</v>
      </c>
      <c r="E75" s="15" t="str">
        <f t="shared" si="14"/>
        <v>R</v>
      </c>
      <c r="F75" s="15" t="s">
        <v>14</v>
      </c>
      <c r="G75"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5" s="32"/>
    </row>
    <row r="76" spans="2:8" ht="19.5" customHeight="1" x14ac:dyDescent="0.25">
      <c r="B76" s="5" t="str">
        <f>IF(OR(Home!$D$7="",Home!$D$8="No"),"",IF(ISBLANK(HLOOKUP(Home!$D$7,$D$2:$F$102,ROW(A75),FALSE)),"",IF(H76="",HLOOKUP(Home!$D$7,$D$2:$F$102,ROW(A75),FALSE),IF(C76=FALSE,"C"))))</f>
        <v/>
      </c>
      <c r="C76" s="5" t="b">
        <v>1</v>
      </c>
      <c r="D76" s="15" t="str">
        <f t="shared" si="14"/>
        <v>R</v>
      </c>
      <c r="E76" s="15" t="str">
        <f t="shared" si="14"/>
        <v>R</v>
      </c>
      <c r="F76" s="15" t="s">
        <v>14</v>
      </c>
      <c r="G76" s="9" t="s">
        <v>101</v>
      </c>
      <c r="H76" s="27"/>
    </row>
    <row r="77" spans="2:8" ht="15" customHeight="1" x14ac:dyDescent="0.25">
      <c r="B77" s="5" t="str">
        <f>IF(OR(Home!$D$7="",Home!$D$8="No"),"",IF(ISBLANK(HLOOKUP(Home!$D$7,$D$2:$F$102,ROW(A76),FALSE)),"",IF(H77="",HLOOKUP(Home!$D$7,$D$2:$F$102,ROW(A76),FALSE),IF(C77=FALSE,"C"))))</f>
        <v/>
      </c>
      <c r="C77" s="5" t="b">
        <v>1</v>
      </c>
      <c r="D77" s="15" t="str">
        <f t="shared" ref="D77:E77" si="15">IF(COUNTIF($B$4:$B$7,"R")&gt;0,"","Y")</f>
        <v>Y</v>
      </c>
      <c r="E77" s="15" t="str">
        <f t="shared" si="15"/>
        <v>Y</v>
      </c>
      <c r="F77" s="15" t="s">
        <v>22</v>
      </c>
      <c r="G77" s="48"/>
      <c r="H77" s="58"/>
    </row>
    <row r="78" spans="2:8" ht="26.25" x14ac:dyDescent="0.25">
      <c r="B78" s="5" t="str">
        <f>IF(OR(Home!$D$7="",Home!$D$8="No"),"",IF(ISBLANK(HLOOKUP(Home!$D$7,$D$2:$F$102,ROW(A77),FALSE)),"",IF(H78="",HLOOKUP(Home!$D$7,$D$2:$F$102,ROW(A77),FALSE),IF(C78=FALSE,"C"))))</f>
        <v/>
      </c>
      <c r="C78" s="1" t="b">
        <v>1</v>
      </c>
      <c r="D78" s="16" t="str">
        <f t="shared" ref="D78:F79" si="16">IF(COUNTIF($B$4:$B$7,"R")&gt;0,"",IF(OR($H$5="Yes",$H$72="Yes"),"Y",""))</f>
        <v/>
      </c>
      <c r="E78" s="16" t="str">
        <f t="shared" si="16"/>
        <v/>
      </c>
      <c r="F78" s="16" t="str">
        <f t="shared" si="16"/>
        <v/>
      </c>
      <c r="G78" s="51" t="s">
        <v>95</v>
      </c>
      <c r="H78" s="51"/>
    </row>
    <row r="79" spans="2:8" x14ac:dyDescent="0.25">
      <c r="B79" s="5" t="str">
        <f>IF(OR(Home!$D$7="",Home!$D$8="No"),"",IF(ISBLANK(HLOOKUP(Home!$D$7,$D$2:$F$102,ROW(A78),FALSE)),"",IF(H79="",HLOOKUP(Home!$D$7,$D$2:$F$102,ROW(A78),FALSE),IF(C79=FALSE,"C"))))</f>
        <v/>
      </c>
      <c r="C79" s="1" t="b">
        <v>1</v>
      </c>
      <c r="D79" s="16" t="str">
        <f t="shared" si="16"/>
        <v/>
      </c>
      <c r="E79" s="16" t="str">
        <f t="shared" si="16"/>
        <v/>
      </c>
      <c r="F79" s="16" t="str">
        <f t="shared" si="16"/>
        <v/>
      </c>
      <c r="G79" s="52" t="str">
        <f>Home!D7&amp;" Information"</f>
        <v xml:space="preserve"> Information</v>
      </c>
      <c r="H79" s="53"/>
    </row>
    <row r="80" spans="2:8" x14ac:dyDescent="0.25">
      <c r="B80" s="5" t="str">
        <f>IF(OR(Home!$D$7="",Home!$D$8="No"),"",IF(ISBLANK(HLOOKUP(Home!$D$7,$D$2:$F$102,ROW(A79),FALSE)),"",IF(H80="",HLOOKUP(Home!$D$7,$D$2:$F$102,ROW(A79),FALSE),IF(C80=FALSE,"C"))))</f>
        <v/>
      </c>
      <c r="C80" s="1" t="b">
        <v>1</v>
      </c>
      <c r="D80" s="16" t="str">
        <f>IF(COUNTIF($B$4:$B$7,"R")&gt;0,"",IF(OR($H$5="Yes",$H$72="Yes"),"R",""))</f>
        <v/>
      </c>
      <c r="E80" s="16" t="str">
        <f>IF(COUNTIF($B$4:$B$7,"R")&gt;0,"",IF(OR($H$5="Yes",$H$72="Yes"),"R",""))</f>
        <v/>
      </c>
      <c r="F80" s="16" t="str">
        <f>IF(COUNTIF($B$4:$B$7,"R")&gt;0,"",IF(OR($H$5="Yes",$H$72="Yes"),"R",""))</f>
        <v/>
      </c>
      <c r="G80" s="3" t="str">
        <f>Home!D7&amp;" Name:"</f>
        <v xml:space="preserve"> Name:</v>
      </c>
      <c r="H80" s="25"/>
    </row>
    <row r="81" spans="2:8" hidden="1" x14ac:dyDescent="0.25">
      <c r="B81" s="5" t="str">
        <f>IF(OR(Home!$D$7="",Home!$D$8="No"),"",IF(ISBLANK(HLOOKUP(Home!$D$7,$D$2:$F$102,ROW(A80),FALSE)),"",IF(H81="",HLOOKUP(Home!$D$7,$D$2:$F$102,ROW(A80),FALSE),IF(C81=FALSE,"C"))))</f>
        <v/>
      </c>
      <c r="C81" s="1" t="b">
        <v>1</v>
      </c>
      <c r="D81" s="16" t="str">
        <f t="shared" ref="D81:F86" si="17">IF(COUNTIF($B$4:$B$7,"R")&gt;0,"",IF(OR($H$5="Yes",$H$72="Yes"),"R",""))</f>
        <v/>
      </c>
      <c r="E81" s="14"/>
      <c r="F81" s="14"/>
      <c r="G81" s="3" t="str">
        <f>Home!D7&amp;" Division Name:"</f>
        <v xml:space="preserve"> Division Name:</v>
      </c>
      <c r="H81" s="25"/>
    </row>
    <row r="82" spans="2:8" hidden="1" x14ac:dyDescent="0.25">
      <c r="B82" s="5" t="str">
        <f>IF(OR(Home!$D$7="",Home!$D$8="No"),"",IF(ISBLANK(HLOOKUP(Home!$D$7,$D$2:$F$102,ROW(A81),FALSE)),"",IF(H82="",HLOOKUP(Home!$D$7,$D$2:$F$102,ROW(A81),FALSE),IF(C82=FALSE,"C"))))</f>
        <v/>
      </c>
      <c r="C82" s="5" t="b">
        <f>ISNUMBER(H82+0)</f>
        <v>1</v>
      </c>
      <c r="D82" s="16" t="str">
        <f t="shared" si="17"/>
        <v/>
      </c>
      <c r="E82" s="13"/>
      <c r="F82" s="13"/>
      <c r="G82" s="9" t="s">
        <v>15</v>
      </c>
      <c r="H82" s="25"/>
    </row>
    <row r="83" spans="2:8" x14ac:dyDescent="0.25">
      <c r="B83" s="5" t="str">
        <f>IF(OR(Home!$D$7="",Home!$D$8="No"),"",IF(ISBLANK(HLOOKUP(Home!$D$7,$D$2:$F$102,ROW(A82),FALSE)),"",IF(H83="",HLOOKUP(Home!$D$7,$D$2:$F$102,ROW(A82),FALSE),IF(C83=FALSE,"C"))))</f>
        <v/>
      </c>
      <c r="C83" s="5" t="b">
        <f>ISNUMBER(H83+0)</f>
        <v>1</v>
      </c>
      <c r="D83" s="16" t="str">
        <f t="shared" si="17"/>
        <v/>
      </c>
      <c r="E83" s="16" t="str">
        <f t="shared" si="17"/>
        <v/>
      </c>
      <c r="F83" s="16" t="str">
        <f t="shared" si="17"/>
        <v/>
      </c>
      <c r="G83" s="9" t="str">
        <f>IF(OR(Home!$D$7="Study Participant",Home!$D$7="Individual"),"Social Security Number (9 Digits):","Taxpayer Identification Number (9 Digits):")</f>
        <v>Taxpayer Identification Number (9 Digits):</v>
      </c>
      <c r="H83" s="25"/>
    </row>
    <row r="84" spans="2:8" x14ac:dyDescent="0.25">
      <c r="B84" s="5" t="str">
        <f>IF(OR(Home!$D$7="",Home!$D$8="No"),"",IF(ISBLANK(HLOOKUP(Home!$D$7,$D$2:$F$102,ROW(A83),FALSE)),"",IF(H84="",HLOOKUP(Home!$D$7,$D$2:$F$102,ROW(A83),FALSE),IF(C84=FALSE,"C"))))</f>
        <v/>
      </c>
      <c r="C84" s="5" t="b">
        <v>1</v>
      </c>
      <c r="D84" s="16" t="str">
        <f t="shared" si="17"/>
        <v/>
      </c>
      <c r="E84" s="16" t="str">
        <f t="shared" si="17"/>
        <v/>
      </c>
      <c r="F84" s="16" t="str">
        <f t="shared" si="17"/>
        <v/>
      </c>
      <c r="G84" s="3" t="str">
        <f>Home!D7&amp;" ACH Remittance Contact Name:"</f>
        <v xml:space="preserve"> ACH Remittance Contact Name:</v>
      </c>
      <c r="H84" s="25"/>
    </row>
    <row r="85" spans="2:8" x14ac:dyDescent="0.25">
      <c r="B85" s="5" t="str">
        <f>IF(OR(Home!$D$7="",Home!$D$8="No"),"",IF(ISBLANK(HLOOKUP(Home!$D$7,$D$2:$F$102,ROW(A84),FALSE)),"",IF(H85="",HLOOKUP(Home!$D$7,$D$2:$F$102,ROW(A84),FALSE),IF(C85=FALSE,"C"))))</f>
        <v/>
      </c>
      <c r="C85" s="5" t="b">
        <f>AND(ISNUMBER(H85+0),LEFT(H85,1)="1")</f>
        <v>0</v>
      </c>
      <c r="D85" s="16" t="str">
        <f t="shared" si="17"/>
        <v/>
      </c>
      <c r="E85" s="16" t="str">
        <f t="shared" si="17"/>
        <v/>
      </c>
      <c r="F85" s="16" t="str">
        <f t="shared" si="17"/>
        <v/>
      </c>
      <c r="G85" s="3" t="str">
        <f>Home!D7&amp;" ACH Remittance Contact Phone:"</f>
        <v xml:space="preserve"> ACH Remittance Contact Phone:</v>
      </c>
      <c r="H85" s="25"/>
    </row>
    <row r="86" spans="2:8" x14ac:dyDescent="0.25">
      <c r="B86" s="5" t="str">
        <f>IF(OR(Home!$D$7="",Home!$D$8="No"),"",IF(ISBLANK(HLOOKUP(Home!$D$7,$D$2:$F$102,ROW(A85),FALSE)),"",IF(H86="",HLOOKUP(Home!$D$7,$D$2:$F$102,ROW(A85),FALSE),IF(C86=FALSE,"C"))))</f>
        <v/>
      </c>
      <c r="C86" s="5" t="b">
        <f>IF(H86="",TRUE,ISNUMBER(FIND("@",H86,1)+FIND(".",H86,1)))</f>
        <v>1</v>
      </c>
      <c r="D86" s="16" t="str">
        <f t="shared" si="17"/>
        <v/>
      </c>
      <c r="E86" s="16" t="str">
        <f t="shared" si="17"/>
        <v/>
      </c>
      <c r="F86" s="16" t="str">
        <f t="shared" si="17"/>
        <v/>
      </c>
      <c r="G86" s="3" t="str">
        <f>Home!D7&amp;" ACH Remittance Email:"</f>
        <v xml:space="preserve"> ACH Remittance Email:</v>
      </c>
      <c r="H86" s="26"/>
    </row>
    <row r="87" spans="2:8" x14ac:dyDescent="0.25">
      <c r="B87" s="5" t="str">
        <f>IF(OR(Home!$D$7="",Home!$D$8="No"),"",IF(ISBLANK(HLOOKUP(Home!$D$7,$D$2:$F$102,ROW(A86),FALSE)),"",IF(H87="",HLOOKUP(Home!$D$7,$D$2:$F$102,ROW(A86),FALSE),IF(C87=FALSE,"C"))))</f>
        <v/>
      </c>
      <c r="C87" s="1" t="b">
        <v>1</v>
      </c>
      <c r="D87" s="16" t="str">
        <f>IF(COUNTIF($B$4:$B$7,"R")&gt;0,"",IF(OR($H$5="Yes",$H$72="Yes"),"Y",""))</f>
        <v/>
      </c>
      <c r="E87" s="16" t="str">
        <f>IF(COUNTIF($B$4:$B$7,"R")&gt;0,"",IF(OR($H$5="Yes",$H$72="Yes"),"Y",""))</f>
        <v/>
      </c>
      <c r="F87" s="16" t="str">
        <f>IF(COUNTIF($B$4:$B$7,"R")&gt;0,"",IF(OR($H$5="Yes",$H$72="Yes"),"Y",""))</f>
        <v/>
      </c>
      <c r="G87" s="52" t="str">
        <f>Home!D7&amp;" Remittance Address"</f>
        <v xml:space="preserve"> Remittance Address</v>
      </c>
      <c r="H87" s="53"/>
    </row>
    <row r="88" spans="2:8" x14ac:dyDescent="0.25">
      <c r="B88" s="5" t="str">
        <f>IF(OR(Home!$D$7="",Home!$D$8="No"),"",IF(ISBLANK(HLOOKUP(Home!$D$7,$D$2:$F$102,ROW(A87),FALSE)),"",IF(H88="",HLOOKUP(Home!$D$7,$D$2:$F$102,ROW(A87),FALSE),IF(C88=FALSE,"C"))))</f>
        <v/>
      </c>
      <c r="C88" s="5" t="b">
        <f>LEN(H88)&lt;=35</f>
        <v>1</v>
      </c>
      <c r="D88" s="16" t="str">
        <f>IF(COUNTIF($B$4:$B$7,"R")&gt;0,"",IF(OR($H$5="Yes",$H$72="Yes"),"R",""))</f>
        <v/>
      </c>
      <c r="E88" s="16" t="str">
        <f>IF(COUNTIF($B$4:$B$7,"R")&gt;0,"",IF(OR($H$5="Yes",$H$72="Yes"),"R",""))</f>
        <v/>
      </c>
      <c r="F88" s="16" t="str">
        <f>IF(COUNTIF($B$4:$B$7,"R")&gt;0,"",IF(OR($H$5="Yes",$H$72="Yes"),"R",""))</f>
        <v/>
      </c>
      <c r="G88" s="3" t="str">
        <f>Home!D7&amp;" Remittance Address Line 1:"</f>
        <v xml:space="preserve"> Remittance Address Line 1:</v>
      </c>
      <c r="H88" s="25"/>
    </row>
    <row r="89" spans="2:8" x14ac:dyDescent="0.25">
      <c r="B89" s="5" t="str">
        <f>IF(OR(Home!$D$7="",Home!$D$8="No"),"",IF(ISBLANK(HLOOKUP(Home!$D$7,$D$2:$F$102,ROW(A88),FALSE)),"",IF(H89="",HLOOKUP(Home!$D$7,$D$2:$F$102,ROW(A88),FALSE),IF(C89=FALSE,"C"))))</f>
        <v/>
      </c>
      <c r="C89" s="5" t="b">
        <f>LEN(H89)&lt;=35</f>
        <v>1</v>
      </c>
      <c r="D89" s="16" t="str">
        <f>IF(COUNTIF($B$4:$B$7,"R")&gt;0,"",IF(OR($H$5="Yes",$H$72="Yes"),"Y",""))</f>
        <v/>
      </c>
      <c r="E89" s="16" t="str">
        <f>IF(COUNTIF($B$4:$B$7,"R")&gt;0,"",IF(OR($H$5="Yes",$H$72="Yes"),"Y",""))</f>
        <v/>
      </c>
      <c r="F89" s="16" t="str">
        <f>IF(COUNTIF($B$4:$B$7,"R")&gt;0,"",IF(OR($H$5="Yes",$H$72="Yes"),"Y",""))</f>
        <v/>
      </c>
      <c r="G89" s="3" t="str">
        <f>Home!D7&amp;" Remittance Address Line 2:"</f>
        <v xml:space="preserve"> Remittance Address Line 2:</v>
      </c>
      <c r="H89" s="25"/>
    </row>
    <row r="90" spans="2:8" x14ac:dyDescent="0.25">
      <c r="B90" s="5" t="str">
        <f>IF(OR(Home!$D$7="",Home!$D$8="No"),"",IF(ISBLANK(HLOOKUP(Home!$D$7,$D$2:$F$102,ROW(A89),FALSE)),"",IF(H90="",HLOOKUP(Home!$D$7,$D$2:$F$102,ROW(A89),FALSE),IF(C90=FALSE,"C"))))</f>
        <v/>
      </c>
      <c r="C90" s="5" t="b">
        <v>1</v>
      </c>
      <c r="D90" s="16" t="str">
        <f t="shared" ref="D90:F92" si="18">IF(COUNTIF($B$4:$B$7,"R")&gt;0,"",IF(OR($H$5="Yes",$H$72="Yes"),"R",""))</f>
        <v/>
      </c>
      <c r="E90" s="16" t="str">
        <f t="shared" si="18"/>
        <v/>
      </c>
      <c r="F90" s="16" t="str">
        <f t="shared" si="18"/>
        <v/>
      </c>
      <c r="G90" s="3" t="s">
        <v>6</v>
      </c>
      <c r="H90" s="25"/>
    </row>
    <row r="91" spans="2:8" x14ac:dyDescent="0.25">
      <c r="B91" s="5" t="str">
        <f>IF(OR(Home!$D$7="",Home!$D$8="No"),"",IF(ISBLANK(HLOOKUP(Home!$D$7,$D$2:$F$102,ROW(A90),FALSE)),"",IF(H91="",HLOOKUP(Home!$D$7,$D$2:$F$102,ROW(A90),FALSE),IF(C91=FALSE,"C"))))</f>
        <v/>
      </c>
      <c r="C91" s="5" t="b">
        <v>1</v>
      </c>
      <c r="D91" s="16" t="str">
        <f t="shared" si="18"/>
        <v/>
      </c>
      <c r="E91" s="16" t="str">
        <f t="shared" si="18"/>
        <v/>
      </c>
      <c r="F91" s="16" t="str">
        <f t="shared" si="18"/>
        <v/>
      </c>
      <c r="G91" s="3" t="s">
        <v>7</v>
      </c>
      <c r="H91" s="25"/>
    </row>
    <row r="92" spans="2:8" x14ac:dyDescent="0.25">
      <c r="B92" s="5" t="str">
        <f>IF(OR(Home!$D$7="",Home!$D$8="No"),"",IF(ISBLANK(HLOOKUP(Home!$D$7,$D$2:$F$102,ROW(A91),FALSE)),"",IF(H92="",HLOOKUP(Home!$D$7,$D$2:$F$102,ROW(A91),FALSE),IF(C92=FALSE,"C"))))</f>
        <v/>
      </c>
      <c r="C92" s="5" t="b">
        <v>1</v>
      </c>
      <c r="D92" s="16" t="str">
        <f t="shared" si="18"/>
        <v/>
      </c>
      <c r="E92" s="16" t="str">
        <f t="shared" si="18"/>
        <v/>
      </c>
      <c r="F92" s="16" t="str">
        <f t="shared" si="18"/>
        <v/>
      </c>
      <c r="G92" s="3" t="s">
        <v>8</v>
      </c>
      <c r="H92" s="25"/>
    </row>
    <row r="93" spans="2:8" x14ac:dyDescent="0.25">
      <c r="B93" s="5" t="str">
        <f>IF(OR(Home!$D$7="",Home!$D$8="No"),"",IF(ISBLANK(HLOOKUP(Home!$D$7,$D$2:$F$102,ROW(A92),FALSE)),"",IF(H93="",HLOOKUP(Home!$D$7,$D$2:$F$102,ROW(A92),FALSE),IF(C93=FALSE,"C"))))</f>
        <v/>
      </c>
      <c r="C93" s="1" t="b">
        <v>1</v>
      </c>
      <c r="D93" s="16" t="str">
        <f>IF(COUNTIF($B$4:$B$7,"R")&gt;0,"",IF(OR($H$5="Yes",$H$72="Yes"),"Y",""))</f>
        <v/>
      </c>
      <c r="E93" s="16" t="str">
        <f>IF(COUNTIF($B$4:$B$7,"R")&gt;0,"",IF(OR($H$5="Yes",$H$72="Yes"),"Y",""))</f>
        <v/>
      </c>
      <c r="F93" s="16" t="str">
        <f>IF(COUNTIF($B$4:$B$7,"R")&gt;0,"",IF(OR($H$5="Yes",$H$72="Yes"),"Y",""))</f>
        <v/>
      </c>
      <c r="G93" s="52" t="s">
        <v>24</v>
      </c>
      <c r="H93" s="53"/>
    </row>
    <row r="94" spans="2:8" x14ac:dyDescent="0.25">
      <c r="B94" s="5" t="str">
        <f>IF(OR(Home!$D$7="",Home!$D$8="No"),"",IF(ISBLANK(HLOOKUP(Home!$D$7,$D$2:$F$102,ROW(A93),FALSE)),"",IF(H94="",HLOOKUP(Home!$D$7,$D$2:$F$102,ROW(A93),FALSE),IF(C94=FALSE,"C"))))</f>
        <v/>
      </c>
      <c r="C94" s="1" t="b">
        <v>1</v>
      </c>
      <c r="D94" s="16" t="str">
        <f t="shared" ref="D94:F96" si="19">IF(COUNTIF($B$4:$B$7,"R")&gt;0,"",IF(OR($H$5="Yes",$H$72="Yes"),"R",""))</f>
        <v/>
      </c>
      <c r="E94" s="16" t="str">
        <f t="shared" si="19"/>
        <v/>
      </c>
      <c r="F94" s="16" t="str">
        <f t="shared" si="19"/>
        <v/>
      </c>
      <c r="G94" s="3" t="s">
        <v>25</v>
      </c>
      <c r="H94" s="25"/>
    </row>
    <row r="95" spans="2:8" x14ac:dyDescent="0.25">
      <c r="B95" s="5" t="str">
        <f>IF(OR(Home!$D$7="",Home!$D$8="No"),"",IF(ISBLANK(HLOOKUP(Home!$D$7,$D$2:$F$102,ROW(A94),FALSE)),"",IF(H95="",HLOOKUP(Home!$D$7,$D$2:$F$102,ROW(A94),FALSE),IF(C95=FALSE,"C"))))</f>
        <v/>
      </c>
      <c r="C95" s="5" t="b">
        <f>ISNUMBER(H95+0)</f>
        <v>1</v>
      </c>
      <c r="D95" s="16" t="str">
        <f t="shared" si="19"/>
        <v/>
      </c>
      <c r="E95" s="16" t="str">
        <f t="shared" si="19"/>
        <v/>
      </c>
      <c r="F95" s="16" t="str">
        <f t="shared" si="19"/>
        <v/>
      </c>
      <c r="G95" s="3" t="s">
        <v>26</v>
      </c>
      <c r="H95" s="25"/>
    </row>
    <row r="96" spans="2:8" x14ac:dyDescent="0.25">
      <c r="B96" s="5" t="str">
        <f>IF(OR(Home!$D$7="",Home!$D$8="No"),"",IF(ISBLANK(HLOOKUP(Home!$D$7,$D$2:$F$102,ROW(A95),FALSE)),"",IF(H96="",HLOOKUP(Home!$D$7,$D$2:$F$102,ROW(A95),FALSE),IF(C96=FALSE,"C"))))</f>
        <v/>
      </c>
      <c r="C96" s="5" t="b">
        <f>ISNUMBER(H96+0)</f>
        <v>1</v>
      </c>
      <c r="D96" s="16" t="str">
        <f t="shared" si="19"/>
        <v/>
      </c>
      <c r="E96" s="16" t="str">
        <f t="shared" si="19"/>
        <v/>
      </c>
      <c r="F96" s="16" t="str">
        <f t="shared" si="19"/>
        <v/>
      </c>
      <c r="G96" s="3" t="s">
        <v>27</v>
      </c>
      <c r="H96" s="25"/>
    </row>
    <row r="97" spans="2:8" x14ac:dyDescent="0.25">
      <c r="B97" s="5" t="str">
        <f>IF(OR(Home!$D$7="",Home!$D$8="No"),"",IF(ISBLANK(HLOOKUP(Home!$D$7,$D$2:$F$102,ROW(A96),FALSE)),"",IF(H97="",HLOOKUP(Home!$D$7,$D$2:$F$102,ROW(A96),FALSE),IF(C97=FALSE,"C"))))</f>
        <v/>
      </c>
      <c r="C97" s="1" t="b">
        <v>1</v>
      </c>
      <c r="D97" s="16" t="str">
        <f t="shared" ref="D97:F98" si="20">IF(COUNTIF($B$4:$B$7,"R")&gt;0,"",IF(OR($H$5="Yes",$H$72="Yes"),"Y",""))</f>
        <v/>
      </c>
      <c r="E97" s="16" t="str">
        <f t="shared" si="20"/>
        <v/>
      </c>
      <c r="F97" s="16" t="str">
        <f t="shared" si="20"/>
        <v/>
      </c>
      <c r="G97" s="52" t="str">
        <f>Home!D7&amp;" Authorization"</f>
        <v xml:space="preserve"> Authorization</v>
      </c>
      <c r="H97" s="53"/>
    </row>
    <row r="98" spans="2:8" x14ac:dyDescent="0.25">
      <c r="B98" s="5" t="str">
        <f>IF(OR(Home!$D$7="",Home!$D$8="No"),"",IF(ISBLANK(HLOOKUP(Home!$D$7,$D$2:$F$102,ROW(A97),FALSE)),"",IF(H98="",HLOOKUP(Home!$D$7,$D$2:$F$102,ROW(A97),FALSE),IF(C98=FALSE,"C"))))</f>
        <v/>
      </c>
      <c r="C98" s="1" t="b">
        <v>1</v>
      </c>
      <c r="D98" s="16" t="str">
        <f t="shared" si="20"/>
        <v/>
      </c>
      <c r="E98" s="16" t="str">
        <f t="shared" si="20"/>
        <v/>
      </c>
      <c r="F98" s="16" t="str">
        <f t="shared" si="20"/>
        <v/>
      </c>
      <c r="G98" s="49" t="s">
        <v>94</v>
      </c>
      <c r="H98" s="50"/>
    </row>
    <row r="99" spans="2:8" ht="152.25" customHeight="1" x14ac:dyDescent="0.25">
      <c r="B99" s="5" t="str">
        <f>IF(OR(Home!$D$7="",Home!$D$8="No"),"",IF(ISBLANK(HLOOKUP(Home!$D$7,$D$2:$F$102,ROW(A98),FALSE)),"",IF(H99="",HLOOKUP(Home!$D$7,$D$2:$F$102,ROW(A98),FALSE),IF(C99=FALSE,"C"))))</f>
        <v/>
      </c>
      <c r="C99" s="1" t="b">
        <v>1</v>
      </c>
      <c r="D99" s="16" t="str">
        <f t="shared" ref="D99:F100" si="21">IF(COUNTIF($B$4:$B$7,"R")&gt;0,"",IF(OR($H$5="Yes",$H$72="Yes"),"R",""))</f>
        <v/>
      </c>
      <c r="E99" s="16" t="str">
        <f t="shared" si="21"/>
        <v/>
      </c>
      <c r="F99" s="16" t="str">
        <f t="shared" si="21"/>
        <v/>
      </c>
      <c r="G99"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9" s="32"/>
    </row>
    <row r="100" spans="2:8" x14ac:dyDescent="0.25">
      <c r="B100" s="5" t="str">
        <f>IF(OR(Home!$D$7="",Home!$D$8="No"),"",IF(ISBLANK(HLOOKUP(Home!$D$7,$D$2:$F$102,ROW(A99),FALSE)),"",IF(H100="",HLOOKUP(Home!$D$7,$D$2:$F$102,ROW(A99),FALSE),IF(C100=FALSE,"C"))))</f>
        <v/>
      </c>
      <c r="C100" s="1" t="b">
        <v>1</v>
      </c>
      <c r="D100" s="16" t="str">
        <f t="shared" si="21"/>
        <v/>
      </c>
      <c r="E100" s="16" t="str">
        <f t="shared" si="21"/>
        <v/>
      </c>
      <c r="F100" s="16" t="str">
        <f t="shared" si="21"/>
        <v/>
      </c>
      <c r="G100" s="3" t="s">
        <v>101</v>
      </c>
      <c r="H100" s="27"/>
    </row>
    <row r="101" spans="2:8" hidden="1" x14ac:dyDescent="0.25">
      <c r="B101" s="5" t="str">
        <f>IF(OR(Home!$D$7="",Home!$D$8="No"),"",IF(ISBLANK(HLOOKUP(Home!$D$7,$D$2:$F$102,ROW(A100),FALSE)),"",IF(H101="",HLOOKUP(Home!$D$7,$D$2:$F$102,ROW(A100),FALSE),IF(C101=FALSE,"C"))))</f>
        <v/>
      </c>
      <c r="C101" s="1" t="b">
        <v>1</v>
      </c>
      <c r="D101" s="16" t="str">
        <f>IF(COUNTIF($B$4:$B$7,"R")&gt;0,"",IF(OR($H$5="Yes",$H$72="Yes"),"R",""))</f>
        <v/>
      </c>
      <c r="E101" s="14"/>
      <c r="F101" s="14"/>
      <c r="G101" s="3" t="s">
        <v>100</v>
      </c>
      <c r="H101" s="25"/>
    </row>
    <row r="102" spans="2:8" hidden="1" x14ac:dyDescent="0.25">
      <c r="B102" s="5" t="str">
        <f>IF(OR(Home!$D$7="",Home!$D$8="No"),"",IF(ISBLANK(HLOOKUP(Home!$D$7,$D$2:$F$102,ROW(A101),FALSE)),"",IF(H102="",HLOOKUP(Home!$D$7,$D$2:$F$102,ROW(A101),FALSE),IF(C102=FALSE,"C"))))</f>
        <v/>
      </c>
      <c r="C102" s="5" t="b">
        <f>AND(ISNUMBER(H102+0),LEFT(H102,1)="1")</f>
        <v>0</v>
      </c>
      <c r="D102" s="16" t="str">
        <f>IF(COUNTIF($B$4:$B$7,"R")&gt;0,"",IF(OR($H$5="Yes",$H$72="Yes"),"R",""))</f>
        <v/>
      </c>
      <c r="E102" s="14"/>
      <c r="F102" s="14"/>
      <c r="G102" s="3" t="s">
        <v>99</v>
      </c>
      <c r="H102" s="25"/>
    </row>
  </sheetData>
  <sheetProtection algorithmName="SHA-512" hashValue="gu/boKwY9UDz4+hv3PYFYpsXlwICC3geQOd2kDmo41YSoNF6iQR/3r/F63bU66SAjM/WlnEs92MAkeqQLvs2pw==" saltValue="tDehYUXLhz448uM7GdIiIw==" spinCount="100000" sheet="1" formatRows="0" selectLockedCells="1"/>
  <autoFilter ref="B2:F102" xr:uid="{306DB0EA-EB5A-4E84-8716-9E6116845EFE}">
    <filterColumn colId="3">
      <customFilters>
        <customFilter operator="notEqual" val=" "/>
      </customFilters>
    </filterColumn>
  </autoFilter>
  <mergeCells count="16">
    <mergeCell ref="G87:H87"/>
    <mergeCell ref="G93:H93"/>
    <mergeCell ref="G97:H97"/>
    <mergeCell ref="G98:H98"/>
    <mergeCell ref="G48:H48"/>
    <mergeCell ref="G57:H57"/>
    <mergeCell ref="G58:H58"/>
    <mergeCell ref="G77:H77"/>
    <mergeCell ref="G78:H78"/>
    <mergeCell ref="G79:H79"/>
    <mergeCell ref="G37:H37"/>
    <mergeCell ref="G2:H2"/>
    <mergeCell ref="G3:H3"/>
    <mergeCell ref="G8:H8"/>
    <mergeCell ref="G9:H9"/>
    <mergeCell ref="G29:H29"/>
  </mergeCells>
  <conditionalFormatting sqref="G2:H70 G72:H102">
    <cfRule type="expression" dxfId="33" priority="13">
      <formula>$B2=""</formula>
    </cfRule>
  </conditionalFormatting>
  <conditionalFormatting sqref="J2">
    <cfRule type="expression" dxfId="32" priority="14">
      <formula>$B2=""</formula>
    </cfRule>
  </conditionalFormatting>
  <conditionalFormatting sqref="G2:H2">
    <cfRule type="expression" dxfId="31" priority="17">
      <formula>LEFT($G$2,9)="Completed"</formula>
    </cfRule>
  </conditionalFormatting>
  <conditionalFormatting sqref="G69:H69">
    <cfRule type="expression" dxfId="30" priority="10">
      <formula>$B69=""</formula>
    </cfRule>
  </conditionalFormatting>
  <conditionalFormatting sqref="H69">
    <cfRule type="expression" dxfId="29" priority="11">
      <formula>$B69="C"</formula>
    </cfRule>
    <cfRule type="expression" dxfId="28" priority="12">
      <formula>$B69="R"</formula>
    </cfRule>
  </conditionalFormatting>
  <conditionalFormatting sqref="G70:H70">
    <cfRule type="expression" dxfId="27" priority="7">
      <formula>$B70=""</formula>
    </cfRule>
  </conditionalFormatting>
  <conditionalFormatting sqref="H70">
    <cfRule type="expression" dxfId="26" priority="8">
      <formula>$B70="C"</formula>
    </cfRule>
    <cfRule type="expression" dxfId="25" priority="9">
      <formula>$B70="R"</formula>
    </cfRule>
  </conditionalFormatting>
  <conditionalFormatting sqref="H3:H70 H72:H102">
    <cfRule type="expression" dxfId="24" priority="15">
      <formula>$B3="C"</formula>
    </cfRule>
    <cfRule type="expression" dxfId="23" priority="16">
      <formula>$B3="R"</formula>
    </cfRule>
  </conditionalFormatting>
  <conditionalFormatting sqref="G71:H71">
    <cfRule type="expression" dxfId="22" priority="4">
      <formula>$B71=""</formula>
    </cfRule>
  </conditionalFormatting>
  <conditionalFormatting sqref="G71:H71">
    <cfRule type="expression" dxfId="21" priority="1">
      <formula>$B71=""</formula>
    </cfRule>
  </conditionalFormatting>
  <conditionalFormatting sqref="H71">
    <cfRule type="expression" dxfId="20" priority="2">
      <formula>$B71="C"</formula>
    </cfRule>
    <cfRule type="expression" dxfId="19" priority="3">
      <formula>$B71="R"</formula>
    </cfRule>
  </conditionalFormatting>
  <conditionalFormatting sqref="H71">
    <cfRule type="expression" dxfId="18" priority="5">
      <formula>$B71="C"</formula>
    </cfRule>
    <cfRule type="expression" dxfId="17" priority="6">
      <formula>$B71="R"</formula>
    </cfRule>
  </conditionalFormatting>
  <dataValidations count="17">
    <dataValidation type="textLength" operator="lessThanOrEqual" allowBlank="1" showInputMessage="1" showErrorMessage="1" errorTitle="Exceeds 35 Characters" error="Address lines must be 35 characters or less." sqref="H50:H51 H42:H43 H30:H31 H88:H89" xr:uid="{291AAAB3-0EA6-4800-ABD1-00529F712670}">
      <formula1>35</formula1>
    </dataValidation>
    <dataValidation type="textLength" allowBlank="1" showInputMessage="1" showErrorMessage="1" promptTitle="SAM UEI Number" prompt="The Unique Entity ID is a 12 character alphanumeric ID assigned to an entity by SAM.gov. If you do not know or have this number, you may look it up or request one at the following link https://www.sam.gov." sqref="H12" xr:uid="{1525CA9B-3BBF-4C86-86B0-BA996842DA71}">
      <formula1>12</formula1>
      <formula2>12</formula2>
    </dataValidation>
    <dataValidation type="list" allowBlank="1" showInputMessage="1" showErrorMessage="1" sqref="H70" xr:uid="{6951C26B-3BF2-4A85-BBDA-514202883CA3}">
      <formula1>"I understand"</formula1>
    </dataValidation>
    <dataValidation type="whole" allowBlank="1" showInputMessage="1" showErrorMessage="1" sqref="H71" xr:uid="{B4F08E20-B875-471E-B234-0DBDBD37D865}">
      <formula1>0</formula1>
      <formula2>100000</formula2>
    </dataValidation>
    <dataValidation type="list" allowBlank="1" showInputMessage="1" showErrorMessage="1" sqref="H21:H28" xr:uid="{7D814181-83B3-4F40-B524-2955F185D50A}">
      <formula1>"No,Yes - Certified,Yes - Self-Identified"</formula1>
    </dataValidation>
    <dataValidation type="list" allowBlank="1" showInputMessage="1" showErrorMessage="1" sqref="H20" xr:uid="{0DED1CF5-176A-4875-8F1C-0223B980846B}">
      <formula1>"No,Yes - Small and Diverse,Yes - Small Only,Yes - Diverse Only"</formula1>
    </dataValidation>
    <dataValidation type="list" allowBlank="1" showInputMessage="1" showErrorMessage="1" sqref="H73" xr:uid="{8B2F8778-14CA-42D1-BE76-022C55ADE215}">
      <formula1>"My company is already registered with SAM,My company plans to regiser with SAM,My company does not plan to regiser with SAM"</formula1>
    </dataValidation>
    <dataValidation type="list" allowBlank="1" showInputMessage="1" showErrorMessage="1" sqref="H74 H72 H41 H49 H4:H6 H59:H64" xr:uid="{67C46193-1A8D-40E5-A604-EDDAC13ACDBF}">
      <formula1>"Yes,No"</formula1>
    </dataValidation>
    <dataValidation type="textLength" allowBlank="1" showInputMessage="1" showErrorMessage="1" promptTitle="Routing Number" prompt="This field requires 9 digits without any special characters." sqref="H95" xr:uid="{03F2A609-57B6-495F-B8F9-DD8F8FF7220D}">
      <formula1>9</formula1>
      <formula2>9</formula2>
    </dataValidation>
    <dataValidation type="textLength" allowBlank="1" showInputMessage="1" showErrorMessage="1" promptTitle="Fax Number" prompt="Requires 11 digits with no special characters and the first digit must start with the number 1." sqref="H40" xr:uid="{E95E9A39-D17A-43D4-BC10-0A5B62D01829}">
      <formula1>11</formula1>
      <formula2>11</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83" xr:uid="{31834EC2-1E82-458F-8C0E-1E1E9CA7B8CD}">
      <formula1>9</formula1>
      <formula2>9</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82" xr:uid="{11D01C9A-62E1-454C-8128-58B565EA1BF7}">
      <formula1>9</formula1>
      <formula2>9</formula2>
    </dataValidation>
    <dataValidation type="textLength" allowBlank="1" showInputMessage="1" showErrorMessage="1" promptTitle="Phone Number" prompt="Requires 11 digits with no special characters and the first digit must start with the number 1." sqref="H14 H35 H47 H55 H85 H102" xr:uid="{03E8277B-8ACA-4215-88C4-08B6C265FF83}">
      <formula1>11</formula1>
      <formula2>11</formula2>
    </dataValidation>
    <dataValidation type="list" allowBlank="1" showInputMessage="1" showErrorMessage="1" sqref="H18" xr:uid="{CCB062C7-C074-4867-88A0-512E4AD17C22}">
      <formula1>"Sole Proprietor or Single Member LLC, C Corporation, S Corporation, Partnership, Trust/Estate, Limited Liability Company (LLC),Government,Non-Profit"</formula1>
    </dataValidation>
    <dataValidation type="list" allowBlank="1" showInputMessage="1" showErrorMessage="1" sqref="H19" xr:uid="{A6911693-19FF-4009-A276-26D4877D0E07}">
      <formula1>"C Corporation, S Corporation, Partnership"</formula1>
    </dataValidation>
    <dataValidation type="list" allowBlank="1" showInputMessage="1" showErrorMessage="1" sqref="H16" xr:uid="{3820A2E5-D452-402C-AD8A-53F8ACDCF7D3}">
      <formula1>"Employer Identification Number (EIN),Social Security Number (SSN)"</formula1>
    </dataValidation>
    <dataValidation type="list" allowBlank="1" showInputMessage="1" showErrorMessage="1" sqref="H38" xr:uid="{B917DB74-E7D0-40AE-ABF8-F762B440952E}">
      <formula1>"Email (Plain Text Format),Email (HTML Format),Fax"</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F170BAB-7D6D-41FA-84EC-83BF6BAF4A2C}">
          <x14:formula1>
            <xm:f>'Drop Down'!$B$2:$B$53</xm:f>
          </x14:formula1>
          <xm:sqref>H45 H33 H53 H91</xm:sqref>
        </x14:dataValidation>
        <x14:dataValidation type="list" allowBlank="1" showInputMessage="1" showErrorMessage="1" xr:uid="{D528E132-D2F5-44FF-91E7-CF5A0FC4E831}">
          <x14:formula1>
            <xm:f>'Drop Down'!$D$2:$D$7</xm:f>
          </x14:formula1>
          <xm:sqref>H67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41701-4E92-48FD-9FF8-C0DBE0D22B6A}">
  <sheetPr filterMode="1">
    <pageSetUpPr fitToPage="1"/>
  </sheetPr>
  <dimension ref="B1:J102"/>
  <sheetViews>
    <sheetView showGridLines="0" zoomScaleNormal="100" workbookViewId="0">
      <pane ySplit="2" topLeftCell="A3" activePane="bottomLeft" state="frozen"/>
      <selection pane="bottomLeft" activeCell="H10" sqref="H10"/>
    </sheetView>
  </sheetViews>
  <sheetFormatPr defaultColWidth="9.140625" defaultRowHeight="15" x14ac:dyDescent="0.25"/>
  <cols>
    <col min="1" max="1" width="1.140625" style="8" customWidth="1"/>
    <col min="2" max="2" width="12.5703125" style="5" hidden="1" customWidth="1"/>
    <col min="3" max="3" width="9.85546875" style="5" hidden="1" customWidth="1"/>
    <col min="4" max="4" width="9.7109375" style="5" hidden="1" customWidth="1"/>
    <col min="5" max="5" width="9.85546875" style="5" hidden="1" customWidth="1"/>
    <col min="6" max="6" width="10.5703125" style="5" hidden="1" customWidth="1"/>
    <col min="7" max="7" width="56.28515625" style="6" customWidth="1"/>
    <col min="8" max="8" width="78.140625" style="17" customWidth="1"/>
    <col min="9" max="9" width="1.28515625" style="8" customWidth="1"/>
    <col min="10" max="10" width="12" style="8" customWidth="1"/>
    <col min="11" max="16384" width="9.140625" style="8"/>
  </cols>
  <sheetData>
    <row r="1" spans="2:10" ht="15.75" thickBot="1" x14ac:dyDescent="0.3">
      <c r="G1" s="34" t="str">
        <f>Home!C1&amp;" ("&amp;IF(Home!D8="Yes","Domestic ","")&amp;Home!$D$7&amp;")"</f>
        <v>Supplier Information Form (SIF) Version 2.0 Effective 2-21-2023 ()</v>
      </c>
    </row>
    <row r="2" spans="2:10" ht="63" customHeight="1" thickTop="1" thickBot="1" x14ac:dyDescent="0.3">
      <c r="B2" s="5" t="str">
        <f>IF(AND(Home!$D$7="Study Participant",Home!$D$8&lt;&gt;"No"),"Conditional Formatting","")</f>
        <v/>
      </c>
      <c r="C2" s="5" t="s">
        <v>28</v>
      </c>
      <c r="D2" s="5" t="s">
        <v>84</v>
      </c>
      <c r="E2" s="5" t="s">
        <v>20</v>
      </c>
      <c r="F2" s="5" t="s">
        <v>21</v>
      </c>
      <c r="G2" s="54" t="str">
        <f>IF(AND(COUNTIF($B$3:$B$102,"R")&gt;0,COUNTIF($B$3:$B$102,"C")&gt;0),"There are "&amp;COUNTIF($B$3:$B$102,"R")&amp;" required fields remaining highlighted in yellow with mini-dots."&amp;CHAR(10)&amp;"There are "&amp;COUNTIF($B$3:$B$102,"C")&amp;" fields that need correction highlighted in red.",IF(AND(COUNTIF($B$3:$B$102,"R")&gt;0,COUNTIF($B$3:$B$102,"C")=0),"There are "&amp;COUNTIF($B$3:$B$102,"R")&amp;" required fields remaining highlighted in yellow with mini-dots.",IF(AND(COUNTIF($B$3:$B$102,"R")=0,COUNTIF($B$3:$B$102,"C")&gt;0),"There are "&amp;COUNTIF($B$3:$B$102,"C")&amp;" fields that need correction highlighted in red.","Completed! Please submit this excel file to the Emory personnel that provided you this form.")))</f>
        <v>Completed! Please submit this excel file to the Emory personnel that provided you this form.</v>
      </c>
      <c r="H2" s="55"/>
      <c r="J2" s="11" t="str">
        <f>HYPERLINK(CONCATENATE("#Home!D8"),"Click Here to Go Back")</f>
        <v>Click Here to Go Back</v>
      </c>
    </row>
    <row r="3" spans="2:10" ht="23.25" hidden="1" customHeight="1" thickTop="1" x14ac:dyDescent="0.25">
      <c r="B3" s="5" t="str">
        <f>IF(OR(Home!$D$7="",Home!$D$8="No"),"",IF(ISBLANK(HLOOKUP(Home!$D$7,$D$2:$F$102,ROW(A2),FALSE)),"",IF(H3="",HLOOKUP(Home!$D$7,$D$2:$F$102,ROW(A2),FALSE),IF(C3=FALSE,"C"))))</f>
        <v/>
      </c>
      <c r="C3" s="5" t="b">
        <v>1</v>
      </c>
      <c r="D3" s="15" t="s">
        <v>22</v>
      </c>
      <c r="E3" s="15" t="s">
        <v>22</v>
      </c>
      <c r="F3" s="15"/>
      <c r="G3" s="48" t="s">
        <v>19</v>
      </c>
      <c r="H3" s="58"/>
    </row>
    <row r="4" spans="2:10" ht="30.75" hidden="1" thickTop="1" x14ac:dyDescent="0.25">
      <c r="B4" s="5" t="str">
        <f>IF(OR(Home!$D$7="",Home!$D$8="No"),"",IF(ISBLANK(HLOOKUP(Home!$D$7,$D$2:$F$102,ROW(A3),FALSE)),"",IF(H4="",HLOOKUP(Home!$D$7,$D$2:$F$102,ROW(A3),FALSE),IF(C4=FALSE,"C"))))</f>
        <v/>
      </c>
      <c r="C4" s="5" t="b">
        <v>1</v>
      </c>
      <c r="D4" s="15" t="s">
        <v>14</v>
      </c>
      <c r="E4" s="15" t="s">
        <v>14</v>
      </c>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5"/>
    </row>
    <row r="5" spans="2:10" ht="31.5" hidden="1" customHeight="1" x14ac:dyDescent="0.25">
      <c r="B5" s="5" t="str">
        <f>IF(OR(Home!$D$7="",Home!$D$8="No"),"",IF(ISBLANK(HLOOKUP(Home!$D$7,$D$2:$F$102,ROW(A4),FALSE)),"",IF(H5="",HLOOKUP(Home!$D$7,$D$2:$F$102,ROW(A4),FALSE),IF(C5=FALSE,"C"))))</f>
        <v/>
      </c>
      <c r="C5" s="5" t="b">
        <v>1</v>
      </c>
      <c r="D5" s="15" t="str">
        <f>IF(H4="Yes","R","Y")</f>
        <v>Y</v>
      </c>
      <c r="E5" s="15" t="str">
        <f>IF(H4="Yes","R","Y")</f>
        <v>Y</v>
      </c>
      <c r="F5" s="15"/>
      <c r="G5" s="9" t="str">
        <f>IF(H4="Yes",IF(Home!$D$7="Company","Does your company",IF(Home!$D$7="Individual","Do you",""))&amp;" only need to update the ACH/Banking information on file with Emory?","")</f>
        <v/>
      </c>
      <c r="H5" s="25"/>
    </row>
    <row r="6" spans="2:10" ht="30.75" hidden="1" thickTop="1" x14ac:dyDescent="0.25">
      <c r="B6" s="5" t="str">
        <f>IF(OR(Home!$D$7="",Home!$D$8="No"),"",IF(ISBLANK(HLOOKUP(Home!$D$7,$D$2:$F$102,ROW(A5),FALSE)),"",IF(H6="",HLOOKUP(Home!$D$7,$D$2:$F$102,ROW(A5),FALSE),IF(C6=FALSE,"C"))))</f>
        <v/>
      </c>
      <c r="C6" s="5" t="b">
        <v>1</v>
      </c>
      <c r="D6" s="15" t="s">
        <v>14</v>
      </c>
      <c r="E6" s="15"/>
      <c r="F6" s="15"/>
      <c r="G6" s="9" t="s">
        <v>1056</v>
      </c>
      <c r="H6" s="25"/>
    </row>
    <row r="7" spans="2:10" ht="47.25" hidden="1" customHeight="1" x14ac:dyDescent="0.25">
      <c r="B7" s="5" t="str">
        <f>IF(OR(Home!$D$7="",Home!$D$8="No"),"",IF(ISBLANK(HLOOKUP(Home!$D$7,$D$2:$F$102,ROW(A6),FALSE)),"",IF(H7="",HLOOKUP(Home!$D$7,$D$2:$F$102,ROW(A6),FALSE),IF(C7=FALSE,"C"))))</f>
        <v/>
      </c>
      <c r="C7" s="5" t="b">
        <v>1</v>
      </c>
      <c r="D7" s="15" t="str">
        <f>IF(H6="Yes","R","Y")</f>
        <v>Y</v>
      </c>
      <c r="E7" s="15"/>
      <c r="F7" s="15"/>
      <c r="G7" s="9" t="str">
        <f>IF(H6="Yes","Please provide a brief description of the merger, acquisition, or spinoff:","")</f>
        <v/>
      </c>
      <c r="H7" s="25"/>
    </row>
    <row r="8" spans="2:10" ht="15" customHeight="1" thickTop="1" x14ac:dyDescent="0.25">
      <c r="B8" s="5" t="str">
        <f>IF(OR(Home!$D$7="",Home!$D$8="No"),"",IF(ISBLANK(HLOOKUP(Home!$D$7,$D$2:$F$102,ROW(A7),FALSE)),"",IF(H8="",HLOOKUP(Home!$D$7,$D$2:$F$102,ROW(A7),FALSE),IF(C8=FALSE,"C"))))</f>
        <v/>
      </c>
      <c r="C8" s="5" t="b">
        <v>1</v>
      </c>
      <c r="D8" s="15" t="s">
        <v>22</v>
      </c>
      <c r="E8" s="15" t="s">
        <v>22</v>
      </c>
      <c r="F8" s="15" t="s">
        <v>22</v>
      </c>
      <c r="G8" s="48"/>
      <c r="H8" s="58"/>
    </row>
    <row r="9" spans="2:10" ht="30.75" customHeight="1" x14ac:dyDescent="0.25">
      <c r="B9" s="5" t="str">
        <f>IF(OR(Home!$D$7="",Home!$D$8="No"),"",IF(ISBLANK(HLOOKUP(Home!$D$7,$D$2:$F$102,ROW(A8),FALSE)),"",IF(H9="",HLOOKUP(Home!$D$7,$D$2:$F$102,ROW(A8),FALSE),IF(C9=FALSE,"C"))))</f>
        <v/>
      </c>
      <c r="C9" s="5" t="b">
        <v>1</v>
      </c>
      <c r="D9" s="15" t="str">
        <f>IF(COUNTIF($B$4:$B$7,"R")&gt;0,"","Y")</f>
        <v>Y</v>
      </c>
      <c r="E9" s="15" t="str">
        <f>IF(COUNTIF($B$4:$B$7,"R")&gt;0,"","Y")</f>
        <v>Y</v>
      </c>
      <c r="F9" s="15" t="s">
        <v>22</v>
      </c>
      <c r="G9" s="56" t="str">
        <f>Home!D7&amp;" Name and Information"</f>
        <v xml:space="preserve"> Name and Information</v>
      </c>
      <c r="H9" s="57"/>
    </row>
    <row r="10" spans="2:10" x14ac:dyDescent="0.25">
      <c r="B10" s="5" t="str">
        <f>IF(OR(Home!$D$7="",Home!$D$8="No"),"",IF(ISBLANK(HLOOKUP(Home!$D$7,$D$2:$F$102,ROW(A9),FALSE)),"",IF(H10="",HLOOKUP(Home!$D$7,$D$2:$F$102,ROW(A9),FALSE),IF(C10=FALSE,"C"))))</f>
        <v/>
      </c>
      <c r="C10" s="5" t="b">
        <v>1</v>
      </c>
      <c r="D10" s="15" t="str">
        <f>IF(COUNTIF($B$4:$B$7,"R")&gt;0,"",IF($H$5="Yes","Y","R"))</f>
        <v>R</v>
      </c>
      <c r="E10" s="15" t="str">
        <f>IF(COUNTIF($B$4:$B$7,"R")&gt;0,"",IF($H$5="Yes","Y","R"))</f>
        <v>R</v>
      </c>
      <c r="F10" s="15" t="s">
        <v>14</v>
      </c>
      <c r="G10" s="9" t="s">
        <v>23</v>
      </c>
      <c r="H10" s="25"/>
    </row>
    <row r="11" spans="2:10" hidden="1" x14ac:dyDescent="0.25">
      <c r="B11" s="5" t="str">
        <f>IF(OR(Home!$D$7="",Home!$D$8="No"),"",IF(ISBLANK(HLOOKUP(Home!$D$7,$D$2:$F$102,ROW(A10),FALSE)),"",IF(H11="",HLOOKUP(Home!$D$7,$D$2:$F$102,ROW(A10),FALSE),IF(C11=FALSE,"C"))))</f>
        <v/>
      </c>
      <c r="C11" s="5" t="b">
        <v>1</v>
      </c>
      <c r="D11" s="15" t="str">
        <f t="shared" ref="D11:E11" si="0">IF(COUNTIF($B$4:$B$7,"R")&gt;0,"","Y")</f>
        <v>Y</v>
      </c>
      <c r="E11" s="15" t="str">
        <f t="shared" si="0"/>
        <v>Y</v>
      </c>
      <c r="F11" s="15"/>
      <c r="G11" s="9" t="s">
        <v>2</v>
      </c>
      <c r="H11" s="25"/>
    </row>
    <row r="12" spans="2:10" hidden="1" x14ac:dyDescent="0.25">
      <c r="B12" s="5" t="str">
        <f>IF(OR(Home!$D$7="",Home!$D$8="No"),"",IF(ISBLANK(HLOOKUP(Home!$D$7,$D$2:$F$102,ROW(A11),FALSE)),"",IF(H12="",HLOOKUP(Home!$D$7,$D$2:$F$102,ROW(A11),FALSE),IF(C12=FALSE,"C"))))</f>
        <v/>
      </c>
      <c r="C12" s="5" t="b">
        <f>ISNUMBER(H12+0)</f>
        <v>1</v>
      </c>
      <c r="D12" s="15" t="str">
        <f>IF(COUNTIF($B$4:$B$7,"R")&gt;0,"",IF($H$5="Yes","Y","Y"))</f>
        <v>Y</v>
      </c>
      <c r="E12" s="13"/>
      <c r="F12" s="15"/>
      <c r="G12" s="9" t="s">
        <v>1061</v>
      </c>
      <c r="H12" s="25"/>
    </row>
    <row r="13" spans="2:10" x14ac:dyDescent="0.25">
      <c r="B13" s="5" t="str">
        <f>IF(OR(Home!$D$7="",Home!$D$8="No"),"",IF(ISBLANK(HLOOKUP(Home!$D$7,$D$2:$F$102,ROW(A12),FALSE)),"",IF(H13="",HLOOKUP(Home!$D$7,$D$2:$F$102,ROW(A12),FALSE),IF(C13=FALSE,"C"))))</f>
        <v/>
      </c>
      <c r="C13" s="5" t="b">
        <v>1</v>
      </c>
      <c r="D13" s="15" t="str">
        <f t="shared" ref="D13:E18" si="1">IF(COUNTIF($B$4:$B$7,"R")&gt;0,"",IF($H$5="Yes","Y","R"))</f>
        <v>R</v>
      </c>
      <c r="E13" s="15" t="str">
        <f t="shared" si="1"/>
        <v>R</v>
      </c>
      <c r="F13" s="15" t="s">
        <v>14</v>
      </c>
      <c r="G13" s="9" t="s">
        <v>1</v>
      </c>
      <c r="H13" s="25"/>
    </row>
    <row r="14" spans="2:10" x14ac:dyDescent="0.25">
      <c r="B14" s="5" t="str">
        <f>IF(OR(Home!$D$7="",Home!$D$8="No"),"",IF(ISBLANK(HLOOKUP(Home!$D$7,$D$2:$F$102,ROW(A13),FALSE)),"",IF(H14="",HLOOKUP(Home!$D$7,$D$2:$F$102,ROW(A13),FALSE),IF(C14=FALSE,"C"))))</f>
        <v/>
      </c>
      <c r="C14" s="5" t="b">
        <f>AND(ISNUMBER(H14+0),LEFT(H14,1)="1")</f>
        <v>0</v>
      </c>
      <c r="D14" s="15" t="str">
        <f t="shared" si="1"/>
        <v>R</v>
      </c>
      <c r="E14" s="15" t="str">
        <f t="shared" si="1"/>
        <v>R</v>
      </c>
      <c r="F14" s="15" t="s">
        <v>14</v>
      </c>
      <c r="G14" s="9" t="s">
        <v>3</v>
      </c>
      <c r="H14" s="25"/>
    </row>
    <row r="15" spans="2:10" x14ac:dyDescent="0.25">
      <c r="B15" s="5" t="str">
        <f>IF(OR(Home!$D$7="",Home!$D$8="No"),"",IF(ISBLANK(HLOOKUP(Home!$D$7,$D$2:$F$102,ROW(A14),FALSE)),"",IF(H15="",HLOOKUP(Home!$D$7,$D$2:$F$102,ROW(A14),FALSE),IF(C15=FALSE,"C"))))</f>
        <v/>
      </c>
      <c r="C15" s="5" t="b">
        <f>IF(H15="",TRUE,ISNUMBER(FIND("@",H15,1)+FIND(".",H15,1)))</f>
        <v>1</v>
      </c>
      <c r="D15" s="15" t="str">
        <f t="shared" si="1"/>
        <v>R</v>
      </c>
      <c r="E15" s="15" t="str">
        <f t="shared" si="1"/>
        <v>R</v>
      </c>
      <c r="F15" s="15" t="s">
        <v>14</v>
      </c>
      <c r="G15" s="9" t="s">
        <v>4</v>
      </c>
      <c r="H15" s="26"/>
    </row>
    <row r="16" spans="2:10" hidden="1" x14ac:dyDescent="0.25">
      <c r="B16" s="5" t="str">
        <f>IF(OR(Home!$D$7="",Home!$D$8="No"),"",IF(ISBLANK(HLOOKUP(Home!$D$7,$D$2:$F$102,ROW(A15),FALSE)),"",IF(H16="",HLOOKUP(Home!$D$7,$D$2:$F$102,ROW(A15),FALSE),IF(C16=FALSE,"C"))))</f>
        <v/>
      </c>
      <c r="C16" s="5" t="b">
        <v>1</v>
      </c>
      <c r="D16" s="15" t="str">
        <f t="shared" si="1"/>
        <v>R</v>
      </c>
      <c r="E16" s="15"/>
      <c r="F16" s="15"/>
      <c r="G16" s="9" t="s">
        <v>1054</v>
      </c>
      <c r="H16" s="25"/>
    </row>
    <row r="17" spans="2:8" x14ac:dyDescent="0.25">
      <c r="B17" s="5" t="str">
        <f>IF(OR(Home!$D$7="",Home!$D$8="No"),"",IF(ISBLANK(HLOOKUP(Home!$D$7,$D$2:$F$102,ROW(A16),FALSE)),"",IF(H17="",HLOOKUP(Home!$D$7,$D$2:$F$102,ROW(A16),FALSE),IF(C17=FALSE,"C"))))</f>
        <v/>
      </c>
      <c r="C17" s="5" t="b">
        <f>ISNUMBER(H17+0)</f>
        <v>1</v>
      </c>
      <c r="D17" s="15" t="str">
        <f>IF(COUNTIF($B$4:$B$7,"R")&gt;0,"",IF(OR($H$5="Yes",H16=""),"Y","R"))</f>
        <v>Y</v>
      </c>
      <c r="E17" s="15" t="str">
        <f t="shared" si="1"/>
        <v>R</v>
      </c>
      <c r="F17" s="15" t="s">
        <v>14</v>
      </c>
      <c r="G17" s="9" t="str">
        <f>IF(OR(Home!$D$7="Study Participant",Home!$D$7="Individual"),"Social Security Number (SSN) (9 Digits):",IF(H16="","",$H$16&amp;" (9 Digits) :"))</f>
        <v/>
      </c>
      <c r="H17" s="25"/>
    </row>
    <row r="18" spans="2:8" ht="30" hidden="1" x14ac:dyDescent="0.25">
      <c r="B18" s="5" t="str">
        <f>IF(OR(Home!$D$7="",Home!$D$8="No"),"",IF(ISBLANK(HLOOKUP(Home!$D$7,$D$2:$F$102,ROW(A17),FALSE)),"",IF(H18="",HLOOKUP(Home!$D$7,$D$2:$F$102,ROW(A17),FALSE),IF(C18=FALSE,"C"))))</f>
        <v/>
      </c>
      <c r="C18" s="5" t="b">
        <v>1</v>
      </c>
      <c r="D18" s="15" t="str">
        <f t="shared" si="1"/>
        <v>R</v>
      </c>
      <c r="E18" s="15"/>
      <c r="F18" s="15"/>
      <c r="G18" s="9" t="s">
        <v>1055</v>
      </c>
      <c r="H18" s="25"/>
    </row>
    <row r="19" spans="2:8" hidden="1" x14ac:dyDescent="0.25">
      <c r="B19" s="5" t="str">
        <f>IF(OR(Home!$D$7="",Home!$D$8="No"),"",IF(ISBLANK(HLOOKUP(Home!$D$7,$D$2:$F$102,ROW(A18),FALSE)),"",IF(H19="",HLOOKUP(Home!$D$7,$D$2:$F$102,ROW(A18),FALSE),IF(C19=FALSE,"C"))))</f>
        <v/>
      </c>
      <c r="C19" s="5" t="b">
        <v>1</v>
      </c>
      <c r="D19" s="15" t="str">
        <f>IF(COUNTIF($B$4:$B$7,"R")&gt;0,"",IF($H$18="Limited Liability Company (LLC)","R","Y"))</f>
        <v>Y</v>
      </c>
      <c r="E19" s="15"/>
      <c r="F19" s="15"/>
      <c r="G19" s="9" t="str">
        <f>IF(H18="Limited Liability Company (LLC)","If LLC, Select Tax Classification:","")</f>
        <v/>
      </c>
      <c r="H19" s="25"/>
    </row>
    <row r="20" spans="2:8" ht="30" hidden="1" x14ac:dyDescent="0.25">
      <c r="B20" s="5" t="str">
        <f>IF(OR(Home!$D$7="",Home!$D$8="No"),"",IF(ISBLANK(HLOOKUP(Home!$D$7,$D$2:$F$102,ROW(A19),FALSE)),"",IF(H20="",HLOOKUP(Home!$D$7,$D$2:$F$102,ROW(A19),FALSE),IF(C20=FALSE,"C"))))</f>
        <v/>
      </c>
      <c r="C20" s="5" t="b">
        <v>1</v>
      </c>
      <c r="D20" s="15" t="str">
        <f>IF(COUNTIF($B$4:$B$7,"R")&gt;0,"",IF(OR($H$5="Yes",$H$18="Individual"),"Y","R"))</f>
        <v>R</v>
      </c>
      <c r="E20" s="15"/>
      <c r="F20" s="15"/>
      <c r="G20" s="9" t="s">
        <v>1057</v>
      </c>
      <c r="H20" s="25"/>
    </row>
    <row r="21" spans="2:8" hidden="1" x14ac:dyDescent="0.25">
      <c r="B21" s="5" t="str">
        <f>IF(OR(Home!$D$7="",Home!$D$8="No"),"",IF(ISBLANK(HLOOKUP(Home!$D$7,$D$2:$F$102,ROW(A20),FALSE)),"",IF(H21="",HLOOKUP(Home!$D$7,$D$2:$F$102,ROW(A20),FALSE),IF(C21=FALSE,"C"))))</f>
        <v/>
      </c>
      <c r="C21" s="5" t="b">
        <v>1</v>
      </c>
      <c r="D21" s="15" t="str">
        <f t="shared" ref="D21:D25" si="2">IF(COUNTIF($B$4:$B$7,"R")&gt;0,"",IF(OR($H$5="Yes",$H$20="",$H$20="No",$H$20="Yes - Small Only"),"Y","R"))</f>
        <v>Y</v>
      </c>
      <c r="E21" s="15"/>
      <c r="F21" s="15"/>
      <c r="G21" s="9" t="str">
        <f>IF(OR($H$20="Yes - Small and Diverse",$H$20="Yes - Diverse Only"),"Indicate if Disadvantaged Business (DBE):","")</f>
        <v/>
      </c>
      <c r="H21" s="25"/>
    </row>
    <row r="22" spans="2:8" hidden="1" x14ac:dyDescent="0.25">
      <c r="B22" s="5" t="str">
        <f>IF(OR(Home!$D$7="",Home!$D$8="No"),"",IF(ISBLANK(HLOOKUP(Home!$D$7,$D$2:$F$102,ROW(A21),FALSE)),"",IF(H22="",HLOOKUP(Home!$D$7,$D$2:$F$102,ROW(A21),FALSE),IF(C22=FALSE,"C"))))</f>
        <v/>
      </c>
      <c r="C22" s="5" t="b">
        <v>1</v>
      </c>
      <c r="D22" s="15" t="str">
        <f t="shared" si="2"/>
        <v>Y</v>
      </c>
      <c r="E22" s="15"/>
      <c r="F22" s="15"/>
      <c r="G22" s="9" t="str">
        <f>IF(OR($H$20="Yes - Small and Diverse",$H$20="Yes - Diverse Only"),"Indicate if Woman-Owned Business (WBE):","")</f>
        <v/>
      </c>
      <c r="H22" s="25"/>
    </row>
    <row r="23" spans="2:8" hidden="1" x14ac:dyDescent="0.25">
      <c r="B23" s="5" t="str">
        <f>IF(OR(Home!$D$7="",Home!$D$8="No"),"",IF(ISBLANK(HLOOKUP(Home!$D$7,$D$2:$F$102,ROW(A22),FALSE)),"",IF(H23="",HLOOKUP(Home!$D$7,$D$2:$F$102,ROW(A22),FALSE),IF(C23=FALSE,"C"))))</f>
        <v/>
      </c>
      <c r="C23" s="5" t="b">
        <v>1</v>
      </c>
      <c r="D23" s="15" t="str">
        <f t="shared" si="2"/>
        <v>Y</v>
      </c>
      <c r="E23" s="15"/>
      <c r="F23" s="15"/>
      <c r="G23" s="9" t="str">
        <f>IF(OR($H$20="Yes - Small and Diverse",$H$20="Yes - Diverse Only"),"Indicate if Minority Owned Business (MBE):","")</f>
        <v/>
      </c>
      <c r="H23" s="25"/>
    </row>
    <row r="24" spans="2:8" hidden="1" x14ac:dyDescent="0.25">
      <c r="B24" s="5" t="str">
        <f>IF(OR(Home!$D$7="",Home!$D$8="No"),"",IF(ISBLANK(HLOOKUP(Home!$D$7,$D$2:$F$102,ROW(A23),FALSE)),"",IF(H24="",HLOOKUP(Home!$D$7,$D$2:$F$102,ROW(A23),FALSE),IF(C24=FALSE,"C"))))</f>
        <v/>
      </c>
      <c r="C24" s="5" t="b">
        <v>1</v>
      </c>
      <c r="D24" s="15" t="str">
        <f t="shared" si="2"/>
        <v>Y</v>
      </c>
      <c r="E24" s="15"/>
      <c r="F24" s="15"/>
      <c r="G24" s="9" t="str">
        <f>IF(OR($H$20="Yes - Small and Diverse",$H$20="Yes - Diverse Only"),"Indicate if Veteran Owned Business (VBE):","")</f>
        <v/>
      </c>
      <c r="H24" s="25"/>
    </row>
    <row r="25" spans="2:8" ht="32.25" hidden="1" customHeight="1" x14ac:dyDescent="0.25">
      <c r="B25" s="5" t="str">
        <f>IF(OR(Home!$D$7="",Home!$D$8="No"),"",IF(ISBLANK(HLOOKUP(Home!$D$7,$D$2:$F$102,ROW(A24),FALSE)),"",IF(H25="",HLOOKUP(Home!$D$7,$D$2:$F$102,ROW(A24),FALSE),IF(C25=FALSE,"C"))))</f>
        <v/>
      </c>
      <c r="C25" s="5" t="b">
        <v>1</v>
      </c>
      <c r="D25" s="15" t="str">
        <f t="shared" si="2"/>
        <v>Y</v>
      </c>
      <c r="E25" s="15"/>
      <c r="F25" s="15"/>
      <c r="G25" s="9" t="str">
        <f>IF(OR($H$20="Yes - Small and Diverse",$H$20="Yes - Diverse Only"),"Indicate if Historically Black Colleges / Universities &amp; Minority Institutions:","")</f>
        <v/>
      </c>
      <c r="H25" s="25"/>
    </row>
    <row r="26" spans="2:8" hidden="1" x14ac:dyDescent="0.25">
      <c r="B26" s="5" t="str">
        <f>IF(OR(Home!$D$7="",Home!$D$8="No"),"",IF(ISBLANK(HLOOKUP(Home!$D$7,$D$2:$F$102,ROW(A25),FALSE)),"",IF(H26="",HLOOKUP(Home!$D$7,$D$2:$F$102,ROW(A25),FALSE),IF(C26=FALSE,"C"))))</f>
        <v/>
      </c>
      <c r="C26" s="5" t="b">
        <v>1</v>
      </c>
      <c r="D26" s="15" t="str">
        <f t="shared" ref="D26:D28" si="3">IF(COUNTIF($B$4:$B$7,"R")&gt;0,"",IF(OR($H$5="Yes",$H$20="",$H$20="No",$H$20="Yes - Small Only",$H$20="Yes - Diverse Only"),"Y","R"))</f>
        <v>Y</v>
      </c>
      <c r="E26" s="15"/>
      <c r="F26" s="15"/>
      <c r="G26" s="9" t="str">
        <f>IF(OR($H$20="Yes - Small and Diverse"),"Indicate if HUBZone Small Business (HUB Zone):","")</f>
        <v/>
      </c>
      <c r="H26" s="25"/>
    </row>
    <row r="27" spans="2:8" ht="33.75" hidden="1" customHeight="1" x14ac:dyDescent="0.25">
      <c r="B27" s="5" t="str">
        <f>IF(OR(Home!$D$7="",Home!$D$8="No"),"",IF(ISBLANK(HLOOKUP(Home!$D$7,$D$2:$F$102,ROW(A26),FALSE)),"",IF(H27="",HLOOKUP(Home!$D$7,$D$2:$F$102,ROW(A26),FALSE),IF(C27=FALSE,"C"))))</f>
        <v/>
      </c>
      <c r="C27" s="5" t="b">
        <v>1</v>
      </c>
      <c r="D27" s="15" t="str">
        <f t="shared" si="3"/>
        <v>Y</v>
      </c>
      <c r="E27" s="15"/>
      <c r="F27" s="15"/>
      <c r="G27" s="9" t="str">
        <f>IF(OR($H$20="Yes - Small and Diverse"),"Indicate if Service Disabled Veteran-Owned Small Business (SDVOSB):","")</f>
        <v/>
      </c>
      <c r="H27" s="25"/>
    </row>
    <row r="28" spans="2:8" ht="33.75" hidden="1" customHeight="1" x14ac:dyDescent="0.25">
      <c r="B28" s="5" t="str">
        <f>IF(OR(Home!$D$7="",Home!$D$8="No"),"",IF(ISBLANK(HLOOKUP(Home!$D$7,$D$2:$F$102,ROW(A27),FALSE)),"",IF(H28="",HLOOKUP(Home!$D$7,$D$2:$F$102,ROW(A27),FALSE),IF(C28=FALSE,"C"))))</f>
        <v/>
      </c>
      <c r="C28" s="5" t="b">
        <v>1</v>
      </c>
      <c r="D28" s="15" t="str">
        <f t="shared" si="3"/>
        <v>Y</v>
      </c>
      <c r="E28" s="15"/>
      <c r="F28" s="15"/>
      <c r="G28" s="9" t="str">
        <f>IF(OR($H$20="Yes - Small and Diverse"),"Indicate if Alaskan Native Corporations (ANCs) &amp; Indian Tribes):","")</f>
        <v/>
      </c>
      <c r="H28" s="25"/>
    </row>
    <row r="29" spans="2:8" ht="23.25" customHeight="1" x14ac:dyDescent="0.25">
      <c r="B29" s="5" t="str">
        <f>IF(OR(Home!$D$7="",Home!$D$8="No"),"",IF(ISBLANK(HLOOKUP(Home!$D$7,$D$2:$F$102,ROW(A28),FALSE)),"",IF(H29="",HLOOKUP(Home!$D$7,$D$2:$F$102,ROW(A28),FALSE),IF(C29=FALSE,"C"))))</f>
        <v/>
      </c>
      <c r="C29" s="5" t="b">
        <v>1</v>
      </c>
      <c r="D29" s="15" t="str">
        <f t="shared" ref="D29:E29" si="4">IF(COUNTIF($B$4:$B$7,"R")&gt;0,"","Y")</f>
        <v>Y</v>
      </c>
      <c r="E29" s="15" t="str">
        <f t="shared" si="4"/>
        <v>Y</v>
      </c>
      <c r="F29" s="15" t="s">
        <v>22</v>
      </c>
      <c r="G29" s="48" t="s">
        <v>5</v>
      </c>
      <c r="H29" s="58"/>
    </row>
    <row r="30" spans="2:8" x14ac:dyDescent="0.25">
      <c r="B30" s="5" t="str">
        <f>IF(OR(Home!$D$7="",Home!$D$8="No"),"",IF(ISBLANK(HLOOKUP(Home!$D$7,$D$2:$F$102,ROW(A29),FALSE)),"",IF(H30="",HLOOKUP(Home!$D$7,$D$2:$F$102,ROW(A29),FALSE),IF(C30=FALSE,"C"))))</f>
        <v/>
      </c>
      <c r="C30" s="5" t="b">
        <f>LEN(H30)&lt;=35</f>
        <v>1</v>
      </c>
      <c r="D30" s="15" t="str">
        <f t="shared" ref="D30:E30" si="5">IF(COUNTIF($B$4:$B$7,"R")&gt;0,"",IF($H$5="Yes","Y","R"))</f>
        <v>R</v>
      </c>
      <c r="E30" s="15" t="str">
        <f t="shared" si="5"/>
        <v>R</v>
      </c>
      <c r="F30" s="15" t="s">
        <v>14</v>
      </c>
      <c r="G30" s="9" t="s">
        <v>16</v>
      </c>
      <c r="H30" s="25"/>
    </row>
    <row r="31" spans="2:8" x14ac:dyDescent="0.25">
      <c r="B31" s="5" t="str">
        <f>IF(OR(Home!$D$7="",Home!$D$8="No"),"",IF(ISBLANK(HLOOKUP(Home!$D$7,$D$2:$F$102,ROW(A30),FALSE)),"",IF(H31="",HLOOKUP(Home!$D$7,$D$2:$F$102,ROW(A30),FALSE),IF(C31=FALSE,"C"))))</f>
        <v/>
      </c>
      <c r="C31" s="5" t="b">
        <f>LEN(H31)&lt;=35</f>
        <v>1</v>
      </c>
      <c r="D31" s="15" t="str">
        <f t="shared" ref="D31:E31" si="6">IF(COUNTIF($B$4:$B$7,"R")&gt;0,"","Y")</f>
        <v>Y</v>
      </c>
      <c r="E31" s="15" t="str">
        <f t="shared" si="6"/>
        <v>Y</v>
      </c>
      <c r="F31" s="15" t="s">
        <v>22</v>
      </c>
      <c r="G31" s="9" t="s">
        <v>17</v>
      </c>
      <c r="H31" s="25"/>
    </row>
    <row r="32" spans="2:8" x14ac:dyDescent="0.25">
      <c r="B32" s="5" t="str">
        <f>IF(OR(Home!$D$7="",Home!$D$8="No"),"",IF(ISBLANK(HLOOKUP(Home!$D$7,$D$2:$F$102,ROW(A31),FALSE)),"",IF(H32="",HLOOKUP(Home!$D$7,$D$2:$F$102,ROW(A31),FALSE),IF(C32=FALSE,"C"))))</f>
        <v/>
      </c>
      <c r="C32" s="5" t="b">
        <v>1</v>
      </c>
      <c r="D32" s="15" t="str">
        <f t="shared" ref="D32:E34" si="7">IF(COUNTIF($B$4:$B$7,"R")&gt;0,"",IF($H$5="Yes","Y","R"))</f>
        <v>R</v>
      </c>
      <c r="E32" s="15" t="str">
        <f t="shared" si="7"/>
        <v>R</v>
      </c>
      <c r="F32" s="15" t="s">
        <v>14</v>
      </c>
      <c r="G32" s="9" t="s">
        <v>6</v>
      </c>
      <c r="H32" s="25"/>
    </row>
    <row r="33" spans="2:8" x14ac:dyDescent="0.25">
      <c r="B33" s="5" t="str">
        <f>IF(OR(Home!$D$7="",Home!$D$8="No"),"",IF(ISBLANK(HLOOKUP(Home!$D$7,$D$2:$F$102,ROW(A32),FALSE)),"",IF(H33="",HLOOKUP(Home!$D$7,$D$2:$F$102,ROW(A32),FALSE),IF(C33=FALSE,"C"))))</f>
        <v/>
      </c>
      <c r="C33" s="5" t="b">
        <v>1</v>
      </c>
      <c r="D33" s="15" t="str">
        <f t="shared" si="7"/>
        <v>R</v>
      </c>
      <c r="E33" s="15" t="str">
        <f t="shared" si="7"/>
        <v>R</v>
      </c>
      <c r="F33" s="15" t="s">
        <v>14</v>
      </c>
      <c r="G33" s="9" t="s">
        <v>7</v>
      </c>
      <c r="H33" s="25"/>
    </row>
    <row r="34" spans="2:8" x14ac:dyDescent="0.25">
      <c r="B34" s="5" t="str">
        <f>IF(OR(Home!$D$7="",Home!$D$8="No"),"",IF(ISBLANK(HLOOKUP(Home!$D$7,$D$2:$F$102,ROW(A33),FALSE)),"",IF(H34="",HLOOKUP(Home!$D$7,$D$2:$F$102,ROW(A33),FALSE),IF(C34=FALSE,"C"))))</f>
        <v/>
      </c>
      <c r="C34" s="5" t="b">
        <v>1</v>
      </c>
      <c r="D34" s="15" t="str">
        <f t="shared" si="7"/>
        <v>R</v>
      </c>
      <c r="E34" s="15" t="str">
        <f t="shared" si="7"/>
        <v>R</v>
      </c>
      <c r="F34" s="15" t="s">
        <v>14</v>
      </c>
      <c r="G34" s="9" t="s">
        <v>29</v>
      </c>
      <c r="H34" s="25"/>
    </row>
    <row r="35" spans="2:8" hidden="1" x14ac:dyDescent="0.25">
      <c r="B35" s="5" t="str">
        <f>IF(OR(Home!$D$7="",Home!$D$8="No"),"",IF(ISBLANK(HLOOKUP(Home!$D$7,$D$2:$F$102,ROW(A34),FALSE)),"",IF(H35="",HLOOKUP(Home!$D$7,$D$2:$F$102,ROW(A34),FALSE),IF(C35=FALSE,"C"))))</f>
        <v/>
      </c>
      <c r="C35" s="5" t="b">
        <f>AND(ISNUMBER(H35+0),LEFT(H35,1)="1")</f>
        <v>0</v>
      </c>
      <c r="D35" s="15" t="str">
        <f>IF(COUNTIF($B$4:$B$7,"R")&gt;0,"",IF($H$5="Yes","Y","R"))</f>
        <v>R</v>
      </c>
      <c r="E35" s="13"/>
      <c r="F35" s="15"/>
      <c r="G35" s="9" t="s">
        <v>10</v>
      </c>
      <c r="H35" s="25"/>
    </row>
    <row r="36" spans="2:8" hidden="1" x14ac:dyDescent="0.25">
      <c r="B36" s="5" t="str">
        <f>IF(OR(Home!$D$7="",Home!$D$8="No"),"",IF(ISBLANK(HLOOKUP(Home!$D$7,$D$2:$F$102,ROW(A35),FALSE)),"",IF(H36="",HLOOKUP(Home!$D$7,$D$2:$F$102,ROW(A35),FALSE),IF(C36=FALSE,"C"))))</f>
        <v/>
      </c>
      <c r="C36" s="5" t="b">
        <f>IF(H36="",TRUE,ISNUMBER(FIND("@",H36,1)+FIND(".",H36,1)))</f>
        <v>1</v>
      </c>
      <c r="D36" s="15" t="str">
        <f>IF(COUNTIF($B$4:$B$7,"R")&gt;0,"",IF($H$5="Yes","Y","R"))</f>
        <v>R</v>
      </c>
      <c r="E36" s="13"/>
      <c r="F36" s="15"/>
      <c r="G36" s="9" t="s">
        <v>9</v>
      </c>
      <c r="H36" s="25"/>
    </row>
    <row r="37" spans="2:8" ht="23.25" hidden="1" customHeight="1" x14ac:dyDescent="0.25">
      <c r="B37" s="5" t="str">
        <f>IF(OR(Home!$D$7="",Home!$D$8="No"),"",IF(ISBLANK(HLOOKUP(Home!$D$7,$D$2:$F$102,ROW(A36),FALSE)),"",IF(H37="",HLOOKUP(Home!$D$7,$D$2:$F$102,ROW(A36),FALSE),IF(C37=FALSE,"C"))))</f>
        <v/>
      </c>
      <c r="C37" s="5" t="b">
        <v>1</v>
      </c>
      <c r="D37" s="15" t="str">
        <f>IF(COUNTIF($B$4:$B$7,"R")&gt;0,"","Y")</f>
        <v>Y</v>
      </c>
      <c r="E37" s="13"/>
      <c r="F37" s="15"/>
      <c r="G37" s="48" t="s">
        <v>81</v>
      </c>
      <c r="H37" s="58"/>
    </row>
    <row r="38" spans="2:8" hidden="1" x14ac:dyDescent="0.25">
      <c r="B38" s="5" t="str">
        <f>IF(OR(Home!$D$7="",Home!$D$8="No"),"",IF(ISBLANK(HLOOKUP(Home!$D$7,$D$2:$F$102,ROW(A37),FALSE)),"",IF(H38="",HLOOKUP(Home!$D$7,$D$2:$F$102,ROW(A37),FALSE),IF(C38=FALSE,"C"))))</f>
        <v/>
      </c>
      <c r="C38" s="5" t="b">
        <v>1</v>
      </c>
      <c r="D38" s="15" t="str">
        <f>IF(COUNTIF($B$4:$B$7,"R")&gt;0,"",IF($H$5="Yes","Y","R"))</f>
        <v>R</v>
      </c>
      <c r="E38" s="13"/>
      <c r="F38" s="15"/>
      <c r="G38" s="9" t="s">
        <v>11</v>
      </c>
      <c r="H38" s="25"/>
    </row>
    <row r="39" spans="2:8" hidden="1" x14ac:dyDescent="0.25">
      <c r="B39" s="5" t="str">
        <f>IF(OR(Home!$D$7="",Home!$D$8="No"),"",IF(ISBLANK(HLOOKUP(Home!$D$7,$D$2:$F$102,ROW(A38),FALSE)),"",IF(H39="",HLOOKUP(Home!$D$7,$D$2:$F$102,ROW(A38),FALSE),IF(C39=FALSE,"C"))))</f>
        <v/>
      </c>
      <c r="C39" s="5" t="b">
        <f>IF(H39="",TRUE,ISNUMBER(FIND("@",H39,1)+FIND(".",H39,1)))</f>
        <v>1</v>
      </c>
      <c r="D39" s="15" t="str">
        <f>IF(COUNTIF($B$4:$B$7,"R")&gt;0,"",IF(LEFT($H$38,5)="Email","R","Y"))</f>
        <v>Y</v>
      </c>
      <c r="E39" s="13"/>
      <c r="F39" s="15"/>
      <c r="G39" s="9" t="str">
        <f>IF(LEFT($H$38,5)="Email","Email for Receiving Orders:","")</f>
        <v/>
      </c>
      <c r="H39" s="25"/>
    </row>
    <row r="40" spans="2:8" hidden="1" x14ac:dyDescent="0.25">
      <c r="B40" s="5" t="str">
        <f>IF(OR(Home!$D$7="",Home!$D$8="No"),"",IF(ISBLANK(HLOOKUP(Home!$D$7,$D$2:$F$102,ROW(A39),FALSE)),"",IF(H40="",HLOOKUP(Home!$D$7,$D$2:$F$102,ROW(A39),FALSE),IF(C40=FALSE,"C"))))</f>
        <v/>
      </c>
      <c r="C40" s="5" t="b">
        <f>ISNUMBER(H40+0)</f>
        <v>1</v>
      </c>
      <c r="D40" s="15" t="str">
        <f>IF(COUNTIF($B$4:$B$7,"R")&gt;0,"",IF($H$38="Fax","R","Y"))</f>
        <v>Y</v>
      </c>
      <c r="E40" s="13"/>
      <c r="F40" s="15"/>
      <c r="G40" s="9" t="str">
        <f>IF($H$38="Fax","Fax Number for Receiving Orders:","")</f>
        <v/>
      </c>
      <c r="H40" s="25"/>
    </row>
    <row r="41" spans="2:8" ht="30" hidden="1" x14ac:dyDescent="0.25">
      <c r="B41" s="5" t="str">
        <f>IF(OR(Home!$D$7="",Home!$D$8="No"),"",IF(ISBLANK(HLOOKUP(Home!$D$7,$D$2:$F$102,ROW(A40),FALSE)),"",IF(H41="",HLOOKUP(Home!$D$7,$D$2:$F$102,ROW(A40),FALSE),IF(C41=FALSE,"C"))))</f>
        <v/>
      </c>
      <c r="C41" s="5" t="b">
        <v>1</v>
      </c>
      <c r="D41" s="15" t="str">
        <f>IF(COUNTIF($B$4:$B$7,"R")&gt;0,"",IF($H$5="Yes","Y","R"))</f>
        <v>R</v>
      </c>
      <c r="E41" s="15"/>
      <c r="F41" s="15"/>
      <c r="G41" s="9" t="s">
        <v>1048</v>
      </c>
      <c r="H41" s="25"/>
    </row>
    <row r="42" spans="2:8" hidden="1" x14ac:dyDescent="0.25">
      <c r="B42" s="5" t="str">
        <f>IF(OR(Home!$D$7="",Home!$D$8="No"),"",IF(ISBLANK(HLOOKUP(Home!$D$7,$D$2:$F$102,ROW(A41),FALSE)),"",IF(H42="",HLOOKUP(Home!$D$7,$D$2:$F$102,ROW(A41),FALSE),IF(C42=FALSE,"C"))))</f>
        <v/>
      </c>
      <c r="C42" s="5" t="b">
        <f>LEN(H42)&lt;=35</f>
        <v>1</v>
      </c>
      <c r="D42" s="15" t="str">
        <f>IF(COUNTIF($B$4:$B$7,"R")&gt;0,"",IF(OR($H$5="Yes",$H$41="Yes",$H$41=""),"Y","R"))</f>
        <v>Y</v>
      </c>
      <c r="E42" s="13"/>
      <c r="F42" s="15"/>
      <c r="G42" s="9" t="str">
        <f>IF($H$41="No","Address Line 1:","")</f>
        <v/>
      </c>
      <c r="H42" s="25"/>
    </row>
    <row r="43" spans="2:8" hidden="1" x14ac:dyDescent="0.25">
      <c r="B43" s="5" t="str">
        <f>IF(OR(Home!$D$7="",Home!$D$8="No"),"",IF(ISBLANK(HLOOKUP(Home!$D$7,$D$2:$F$102,ROW(A42),FALSE)),"",IF(H43="",HLOOKUP(Home!$D$7,$D$2:$F$102,ROW(A42),FALSE),IF(C43=FALSE,"C"))))</f>
        <v/>
      </c>
      <c r="C43" s="5" t="b">
        <f>LEN(H43)&lt;=35</f>
        <v>1</v>
      </c>
      <c r="D43" s="15" t="str">
        <f>IF(COUNTIF($B$4:$B$7,"R")&gt;0,"","Y")</f>
        <v>Y</v>
      </c>
      <c r="E43" s="13"/>
      <c r="F43" s="15"/>
      <c r="G43" s="9" t="str">
        <f>IF($H$41="No","Address Line 2:","")</f>
        <v/>
      </c>
      <c r="H43" s="25"/>
    </row>
    <row r="44" spans="2:8" hidden="1" x14ac:dyDescent="0.25">
      <c r="B44" s="5" t="str">
        <f>IF(OR(Home!$D$7="",Home!$D$8="No"),"",IF(ISBLANK(HLOOKUP(Home!$D$7,$D$2:$F$102,ROW(A43),FALSE)),"",IF(H44="",HLOOKUP(Home!$D$7,$D$2:$F$102,ROW(A43),FALSE),IF(C44=FALSE,"C"))))</f>
        <v/>
      </c>
      <c r="C44" s="5" t="b">
        <v>1</v>
      </c>
      <c r="D44" s="15" t="str">
        <f>IF(COUNTIF($B$4:$B$7,"R")&gt;0,"",IF(OR($H$5="Yes",$H$41="Yes",$H$41=""),"Y","R"))</f>
        <v>Y</v>
      </c>
      <c r="E44" s="13"/>
      <c r="F44" s="15"/>
      <c r="G44" s="9" t="str">
        <f>IF($H$41="No","City:","")</f>
        <v/>
      </c>
      <c r="H44" s="25"/>
    </row>
    <row r="45" spans="2:8" hidden="1" x14ac:dyDescent="0.25">
      <c r="B45" s="5" t="str">
        <f>IF(OR(Home!$D$7="",Home!$D$8="No"),"",IF(ISBLANK(HLOOKUP(Home!$D$7,$D$2:$F$102,ROW(A44),FALSE)),"",IF(H45="",HLOOKUP(Home!$D$7,$D$2:$F$102,ROW(A44),FALSE),IF(C45=FALSE,"C"))))</f>
        <v/>
      </c>
      <c r="C45" s="5" t="b">
        <v>1</v>
      </c>
      <c r="D45" s="15" t="str">
        <f>IF(COUNTIF($B$4:$B$7,"R")&gt;0,"",IF(OR($H$5="Yes",$H$41="Yes",$H$41=""),"Y","R"))</f>
        <v>Y</v>
      </c>
      <c r="E45" s="13"/>
      <c r="F45" s="15"/>
      <c r="G45" s="9" t="str">
        <f>IF($H$41="No","State:","")</f>
        <v/>
      </c>
      <c r="H45" s="25"/>
    </row>
    <row r="46" spans="2:8" hidden="1" x14ac:dyDescent="0.25">
      <c r="B46" s="5" t="str">
        <f>IF(OR(Home!$D$7="",Home!$D$8="No"),"",IF(ISBLANK(HLOOKUP(Home!$D$7,$D$2:$F$102,ROW(A45),FALSE)),"",IF(H46="",HLOOKUP(Home!$D$7,$D$2:$F$102,ROW(A45),FALSE),IF(C46=FALSE,"C"))))</f>
        <v/>
      </c>
      <c r="C46" s="5" t="b">
        <v>1</v>
      </c>
      <c r="D46" s="15" t="str">
        <f>IF(COUNTIF($B$4:$B$7,"R")&gt;0,"",IF(OR($H$5="Yes",$H$41="Yes",$H$41=""),"Y","R"))</f>
        <v>Y</v>
      </c>
      <c r="E46" s="13"/>
      <c r="F46" s="15"/>
      <c r="G46" s="9" t="str">
        <f>IF($H$41="No","ZIP Code:","")</f>
        <v/>
      </c>
      <c r="H46" s="25"/>
    </row>
    <row r="47" spans="2:8" hidden="1" x14ac:dyDescent="0.25">
      <c r="B47" s="5" t="str">
        <f>IF(OR(Home!$D$7="",Home!$D$8="No"),"",IF(ISBLANK(HLOOKUP(Home!$D$7,$D$2:$F$102,ROW(A46),FALSE)),"",IF(H47="",HLOOKUP(Home!$D$7,$D$2:$F$102,ROW(A46),FALSE),IF(C47=FALSE,"C"))))</f>
        <v/>
      </c>
      <c r="C47" s="5" t="b">
        <f>AND(ISNUMBER(H47+0),LEFT(H47,1)="1")</f>
        <v>0</v>
      </c>
      <c r="D47" s="15" t="str">
        <f>IF(COUNTIF($B$4:$B$7,"R")&gt;0,"",IF(OR($H$5="Yes",$H$41="Yes",$H$41=""),"Y","R"))</f>
        <v>Y</v>
      </c>
      <c r="E47" s="13"/>
      <c r="F47" s="15"/>
      <c r="G47" s="9" t="str">
        <f>IF($H$41="No","Phone:","")</f>
        <v/>
      </c>
      <c r="H47" s="25"/>
    </row>
    <row r="48" spans="2:8" ht="23.25" hidden="1" customHeight="1" x14ac:dyDescent="0.25">
      <c r="B48" s="5" t="str">
        <f>IF(OR(Home!$D$7="",Home!$D$8="No"),"",IF(ISBLANK(HLOOKUP(Home!$D$7,$D$2:$F$102,ROW(A47),FALSE)),"",IF(H48="",HLOOKUP(Home!$D$7,$D$2:$F$102,ROW(A47),FALSE),IF(C48=FALSE,"C"))))</f>
        <v/>
      </c>
      <c r="C48" s="5" t="b">
        <v>1</v>
      </c>
      <c r="D48" s="15" t="str">
        <f t="shared" ref="D48:E48" si="8">IF(COUNTIF($B$4:$B$7,"R")&gt;0,"","Y")</f>
        <v>Y</v>
      </c>
      <c r="E48" s="15" t="str">
        <f t="shared" si="8"/>
        <v>Y</v>
      </c>
      <c r="F48" s="15"/>
      <c r="G48" s="48" t="s">
        <v>80</v>
      </c>
      <c r="H48" s="58"/>
    </row>
    <row r="49" spans="2:8" ht="33.75" hidden="1" customHeight="1" x14ac:dyDescent="0.25">
      <c r="B49" s="5" t="str">
        <f>IF(OR(Home!$D$7="",Home!$D$8="No"),"",IF(ISBLANK(HLOOKUP(Home!$D$7,$D$2:$F$102,ROW(A48),FALSE)),"",IF(H49="",HLOOKUP(Home!$D$7,$D$2:$F$102,ROW(A48),FALSE),IF(C49=FALSE,"C"))))</f>
        <v/>
      </c>
      <c r="C49" s="5" t="b">
        <v>1</v>
      </c>
      <c r="D49" s="15" t="str">
        <f>IF(COUNTIF($B$4:$B$7,"R")&gt;0,"",IF($H$5="Yes","Y","R"))</f>
        <v>R</v>
      </c>
      <c r="E49" s="15" t="str">
        <f>IF(COUNTIF($B$4:$B$7,"R")&gt;0,"",IF($H$5="Yes","Y","R"))</f>
        <v>R</v>
      </c>
      <c r="F49" s="15"/>
      <c r="G49" s="9" t="s">
        <v>1049</v>
      </c>
      <c r="H49" s="25"/>
    </row>
    <row r="50" spans="2:8" hidden="1" x14ac:dyDescent="0.25">
      <c r="B50" s="5" t="str">
        <f>IF(OR(Home!$D$7="",Home!$D$8="No"),"",IF(ISBLANK(HLOOKUP(Home!$D$7,$D$2:$F$102,ROW(A49),FALSE)),"",IF(H50="",HLOOKUP(Home!$D$7,$D$2:$F$102,ROW(A49),FALSE),IF(C50=FALSE,"C"))))</f>
        <v/>
      </c>
      <c r="C50" s="5" t="b">
        <f>LEN(H50)&lt;=35</f>
        <v>1</v>
      </c>
      <c r="D50" s="15" t="str">
        <f>IF(COUNTIF($B$4:$B$7,"R")&gt;0,"",IF(OR($H$5="Yes",$H$49="Yes",$H$49=""),"Y","R"))</f>
        <v>Y</v>
      </c>
      <c r="E50" s="15" t="str">
        <f>IF(COUNTIF($B$4:$B$7,"R")&gt;0,"",IF(OR($H$5="Yes",$H$49="Yes",$H$49=""),"Y","R"))</f>
        <v>Y</v>
      </c>
      <c r="F50" s="15"/>
      <c r="G50" s="9" t="str">
        <f>IF($H$49="No","Address Line 1:","")</f>
        <v/>
      </c>
      <c r="H50" s="25"/>
    </row>
    <row r="51" spans="2:8" hidden="1" x14ac:dyDescent="0.25">
      <c r="B51" s="5" t="str">
        <f>IF(OR(Home!$D$7="",Home!$D$8="No"),"",IF(ISBLANK(HLOOKUP(Home!$D$7,$D$2:$F$102,ROW(A50),FALSE)),"",IF(H51="",HLOOKUP(Home!$D$7,$D$2:$F$102,ROW(A50),FALSE),IF(C51=FALSE,"C"))))</f>
        <v/>
      </c>
      <c r="C51" s="5" t="b">
        <f>LEN(H51)&lt;=35</f>
        <v>1</v>
      </c>
      <c r="D51" s="15" t="str">
        <f t="shared" ref="D51:E51" si="9">IF(COUNTIF($B$4:$B$7,"R")&gt;0,"","Y")</f>
        <v>Y</v>
      </c>
      <c r="E51" s="15" t="str">
        <f t="shared" si="9"/>
        <v>Y</v>
      </c>
      <c r="F51" s="15"/>
      <c r="G51" s="9" t="str">
        <f>IF($H$49="No","Address Line 2:","")</f>
        <v/>
      </c>
      <c r="H51" s="25"/>
    </row>
    <row r="52" spans="2:8" hidden="1" x14ac:dyDescent="0.25">
      <c r="B52" s="5" t="str">
        <f>IF(OR(Home!$D$7="",Home!$D$8="No"),"",IF(ISBLANK(HLOOKUP(Home!$D$7,$D$2:$F$102,ROW(A51),FALSE)),"",IF(H52="",HLOOKUP(Home!$D$7,$D$2:$F$102,ROW(A51),FALSE),IF(C52=FALSE,"C"))))</f>
        <v/>
      </c>
      <c r="C52" s="5" t="b">
        <v>1</v>
      </c>
      <c r="D52" s="15" t="str">
        <f t="shared" ref="D52:E56" si="10">IF(COUNTIF($B$4:$B$7,"R")&gt;0,"",IF(OR($H$5="Yes",$H$49="Yes",$H$49=""),"Y","R"))</f>
        <v>Y</v>
      </c>
      <c r="E52" s="15" t="str">
        <f t="shared" si="10"/>
        <v>Y</v>
      </c>
      <c r="F52" s="15"/>
      <c r="G52" s="9" t="str">
        <f>IF($H$49="No","City:","")</f>
        <v/>
      </c>
      <c r="H52" s="25"/>
    </row>
    <row r="53" spans="2:8" hidden="1" x14ac:dyDescent="0.25">
      <c r="B53" s="5" t="str">
        <f>IF(OR(Home!$D$7="",Home!$D$8="No"),"",IF(ISBLANK(HLOOKUP(Home!$D$7,$D$2:$F$102,ROW(A52),FALSE)),"",IF(H53="",HLOOKUP(Home!$D$7,$D$2:$F$102,ROW(A52),FALSE),IF(C53=FALSE,"C"))))</f>
        <v/>
      </c>
      <c r="C53" s="5" t="b">
        <v>1</v>
      </c>
      <c r="D53" s="15" t="str">
        <f t="shared" si="10"/>
        <v>Y</v>
      </c>
      <c r="E53" s="15" t="str">
        <f t="shared" si="10"/>
        <v>Y</v>
      </c>
      <c r="F53" s="15"/>
      <c r="G53" s="9" t="str">
        <f>IF($H$49="No","State:","")</f>
        <v/>
      </c>
      <c r="H53" s="25"/>
    </row>
    <row r="54" spans="2:8" hidden="1" x14ac:dyDescent="0.25">
      <c r="B54" s="5" t="str">
        <f>IF(OR(Home!$D$7="",Home!$D$8="No"),"",IF(ISBLANK(HLOOKUP(Home!$D$7,$D$2:$F$102,ROW(A53),FALSE)),"",IF(H54="",HLOOKUP(Home!$D$7,$D$2:$F$102,ROW(A53),FALSE),IF(C54=FALSE,"C"))))</f>
        <v/>
      </c>
      <c r="C54" s="5" t="b">
        <v>1</v>
      </c>
      <c r="D54" s="15" t="str">
        <f t="shared" si="10"/>
        <v>Y</v>
      </c>
      <c r="E54" s="15" t="str">
        <f t="shared" si="10"/>
        <v>Y</v>
      </c>
      <c r="F54" s="15"/>
      <c r="G54" s="9" t="str">
        <f>IF($H$49="No","ZIP Code:","")</f>
        <v/>
      </c>
      <c r="H54" s="25"/>
    </row>
    <row r="55" spans="2:8" hidden="1" x14ac:dyDescent="0.25">
      <c r="B55" s="5" t="str">
        <f>IF(OR(Home!$D$7="",Home!$D$8="No"),"",IF(ISBLANK(HLOOKUP(Home!$D$7,$D$2:$F$102,ROW(A54),FALSE)),"",IF(H55="",HLOOKUP(Home!$D$7,$D$2:$F$102,ROW(A54),FALSE),IF(C55=FALSE,"C"))))</f>
        <v/>
      </c>
      <c r="C55" s="5" t="b">
        <f>AND(ISNUMBER(H55+0),LEFT(H55,1)="1")</f>
        <v>0</v>
      </c>
      <c r="D55" s="15" t="str">
        <f t="shared" si="10"/>
        <v>Y</v>
      </c>
      <c r="E55" s="15" t="str">
        <f t="shared" si="10"/>
        <v>Y</v>
      </c>
      <c r="F55" s="15"/>
      <c r="G55" s="9" t="str">
        <f>IF($H$49="No","Phone:","")</f>
        <v/>
      </c>
      <c r="H55" s="25"/>
    </row>
    <row r="56" spans="2:8" hidden="1" x14ac:dyDescent="0.25">
      <c r="B56" s="5" t="str">
        <f>IF(OR(Home!$D$7="",Home!$D$8="No"),"",IF(ISBLANK(HLOOKUP(Home!$D$7,$D$2:$F$102,ROW(A55),FALSE)),"",IF(H56="",HLOOKUP(Home!$D$7,$D$2:$F$102,ROW(A55),FALSE),IF(C56=FALSE,"C"))))</f>
        <v/>
      </c>
      <c r="C56" s="5" t="b">
        <f>IF(H56="",TRUE,ISNUMBER(FIND("@",H56,1)+FIND(".",H56,1)))</f>
        <v>1</v>
      </c>
      <c r="D56" s="15" t="str">
        <f t="shared" si="10"/>
        <v>Y</v>
      </c>
      <c r="E56" s="15" t="str">
        <f t="shared" si="10"/>
        <v>Y</v>
      </c>
      <c r="F56" s="15"/>
      <c r="G56" s="9" t="str">
        <f>IF($H$49="No","Email:","")</f>
        <v/>
      </c>
      <c r="H56" s="25"/>
    </row>
    <row r="57" spans="2:8" ht="23.25" customHeight="1" x14ac:dyDescent="0.25">
      <c r="B57" s="5" t="str">
        <f>IF(OR(Home!$D$7="",Home!$D$8="No"),"",IF(ISBLANK(HLOOKUP(Home!$D$7,$D$2:$F$102,ROW(A56),FALSE)),"",IF(H57="",HLOOKUP(Home!$D$7,$D$2:$F$102,ROW(A56),FALSE),IF(C57=FALSE,"C"))))</f>
        <v/>
      </c>
      <c r="C57" s="5" t="b">
        <v>1</v>
      </c>
      <c r="D57" s="15" t="str">
        <f t="shared" ref="D57:E58" si="11">IF(COUNTIF($B$4:$B$7,"R")&gt;0,"","Y")</f>
        <v>Y</v>
      </c>
      <c r="E57" s="15" t="str">
        <f t="shared" si="11"/>
        <v>Y</v>
      </c>
      <c r="F57" s="15" t="s">
        <v>22</v>
      </c>
      <c r="G57" s="48" t="s">
        <v>12</v>
      </c>
      <c r="H57" s="58"/>
    </row>
    <row r="58" spans="2:8" x14ac:dyDescent="0.25">
      <c r="B58" s="5" t="str">
        <f>IF(OR(Home!$D$7="",Home!$D$8="No"),"",IF(ISBLANK(HLOOKUP(Home!$D$7,$D$2:$F$102,ROW(A57),FALSE)),"",IF(H58="",HLOOKUP(Home!$D$7,$D$2:$F$102,ROW(A57),FALSE),IF(C58=FALSE,"C"))))</f>
        <v/>
      </c>
      <c r="C58" s="5" t="b">
        <v>1</v>
      </c>
      <c r="D58" s="15" t="str">
        <f t="shared" si="11"/>
        <v>Y</v>
      </c>
      <c r="E58" s="15" t="str">
        <f t="shared" si="11"/>
        <v>Y</v>
      </c>
      <c r="F58" s="15" t="s">
        <v>22</v>
      </c>
      <c r="G58" s="59" t="s">
        <v>18</v>
      </c>
      <c r="H58" s="60"/>
    </row>
    <row r="59" spans="2:8" ht="45" x14ac:dyDescent="0.25">
      <c r="B59" s="5" t="str">
        <f>IF(OR(Home!$D$7="",Home!$D$8="No"),"",IF(ISBLANK(HLOOKUP(Home!$D$7,$D$2:$F$102,ROW(A58),FALSE)),"",IF(H59="",HLOOKUP(Home!$D$7,$D$2:$F$102,ROW(A58),FALSE),IF(C59=FALSE,"C"))))</f>
        <v/>
      </c>
      <c r="C59" s="5" t="b">
        <v>1</v>
      </c>
      <c r="D59" s="15" t="str">
        <f t="shared" ref="D59:E64" si="12">IF(COUNTIF($B$4:$B$7,"R")&gt;0,"",IF($H$5="Yes","Y","R"))</f>
        <v>R</v>
      </c>
      <c r="E59" s="15" t="str">
        <f t="shared" si="12"/>
        <v>R</v>
      </c>
      <c r="F59" s="15" t="s">
        <v>14</v>
      </c>
      <c r="G59" s="9" t="s">
        <v>13</v>
      </c>
      <c r="H59" s="25"/>
    </row>
    <row r="60" spans="2:8" ht="90" x14ac:dyDescent="0.25">
      <c r="B60" s="5" t="str">
        <f>IF(OR(Home!$D$7="",Home!$D$8="No"),"",IF(ISBLANK(HLOOKUP(Home!$D$7,$D$2:$F$102,ROW(A59),FALSE)),"",IF(H60="",HLOOKUP(Home!$D$7,$D$2:$F$102,ROW(A59),FALSE),IF(C60=FALSE,"C"))))</f>
        <v/>
      </c>
      <c r="C60" s="5" t="b">
        <v>1</v>
      </c>
      <c r="D60" s="15" t="str">
        <f t="shared" si="12"/>
        <v>R</v>
      </c>
      <c r="E60" s="15" t="str">
        <f t="shared" si="12"/>
        <v>R</v>
      </c>
      <c r="F60" s="15" t="s">
        <v>14</v>
      </c>
      <c r="G60" s="9" t="s">
        <v>1053</v>
      </c>
      <c r="H60" s="25"/>
    </row>
    <row r="61" spans="2:8" ht="45" hidden="1" x14ac:dyDescent="0.25">
      <c r="B61" s="5" t="str">
        <f>IF(OR(Home!$D$7="",Home!$D$8="No"),"",IF(ISBLANK(HLOOKUP(Home!$D$7,$D$2:$F$102,ROW(A60),FALSE)),"",IF(H61="",HLOOKUP(Home!$D$7,$D$2:$F$102,ROW(A60),FALSE),IF(C61=FALSE,"C"))))</f>
        <v/>
      </c>
      <c r="C61" s="5" t="b">
        <v>1</v>
      </c>
      <c r="D61" s="15" t="str">
        <f t="shared" si="12"/>
        <v>R</v>
      </c>
      <c r="E61" s="15"/>
      <c r="F61" s="15"/>
      <c r="G61" s="9" t="s">
        <v>1052</v>
      </c>
      <c r="H61" s="25"/>
    </row>
    <row r="62" spans="2:8" ht="90" hidden="1" x14ac:dyDescent="0.25">
      <c r="B62" s="5" t="str">
        <f>IF(OR(Home!$D$7="",Home!$D$8="No"),"",IF(ISBLANK(HLOOKUP(Home!$D$7,$D$2:$F$102,ROW(A61),FALSE)),"",IF(H62="",HLOOKUP(Home!$D$7,$D$2:$F$102,ROW(A61),FALSE),IF(C62=FALSE,"C"))))</f>
        <v/>
      </c>
      <c r="C62" s="5" t="b">
        <v>1</v>
      </c>
      <c r="D62" s="15" t="str">
        <f t="shared" si="12"/>
        <v>R</v>
      </c>
      <c r="E62" s="15"/>
      <c r="F62" s="15"/>
      <c r="G62" s="9" t="s">
        <v>96</v>
      </c>
      <c r="H62" s="25"/>
    </row>
    <row r="63" spans="2:8" hidden="1" x14ac:dyDescent="0.25">
      <c r="B63" s="5" t="str">
        <f>IF(OR(Home!$D$7="",Home!$D$8="No"),"",IF(ISBLANK(HLOOKUP(Home!$D$7,$D$2:$F$102,ROW(A62),FALSE)),"",IF(H63="",HLOOKUP(Home!$D$7,$D$2:$F$102,ROW(A62),FALSE),IF(C63=FALSE,"C"))))</f>
        <v/>
      </c>
      <c r="C63" s="5" t="b">
        <v>1</v>
      </c>
      <c r="D63" s="15" t="str">
        <f t="shared" si="12"/>
        <v>R</v>
      </c>
      <c r="E63" s="15" t="str">
        <f t="shared" si="12"/>
        <v>R</v>
      </c>
      <c r="F63" s="15"/>
      <c r="G63" s="9" t="str">
        <f>IF(Home!$D$7="Company","5. Are you or any Officer, Owner or Partner in this company an employee of Emory University?",IF(Home!$D$7="Individual","5. Are you an employee of Emory University?",""))</f>
        <v/>
      </c>
      <c r="H63" s="25"/>
    </row>
    <row r="64" spans="2:8" ht="76.150000000000006" hidden="1" customHeight="1" x14ac:dyDescent="0.25">
      <c r="B64" s="5" t="str">
        <f>IF(OR(Home!$D$7="",Home!$D$8="No"),"",IF(ISBLANK(HLOOKUP(Home!$D$7,$D$2:$F$102,ROW(A63),FALSE)),"",IF(H64="",HLOOKUP(Home!$D$7,$D$2:$F$102,ROW(A63),FALSE),IF(C64=FALSE,"C"))))</f>
        <v/>
      </c>
      <c r="C64" s="5" t="b">
        <v>1</v>
      </c>
      <c r="D64" s="15" t="str">
        <f t="shared" si="12"/>
        <v>R</v>
      </c>
      <c r="E64" s="15" t="str">
        <f t="shared" si="12"/>
        <v>R</v>
      </c>
      <c r="F64" s="15"/>
      <c r="G64" s="35"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4" s="25"/>
    </row>
    <row r="65" spans="2:8" ht="30.75" hidden="1" customHeight="1" x14ac:dyDescent="0.25">
      <c r="B65" s="5" t="str">
        <f>IF(OR(Home!$D$7="",Home!$D$8="No"),"",IF(ISBLANK(HLOOKUP(Home!$D$7,$D$2:$F$102,ROW(A64),FALSE)),"",IF(H65="",HLOOKUP(Home!$D$7,$D$2:$F$102,ROW(A64),FALSE),IF(C65=FALSE,"C"))))</f>
        <v/>
      </c>
      <c r="C65" s="5" t="b">
        <v>1</v>
      </c>
      <c r="D65" s="15" t="str">
        <f>IF(COUNTIF($B$4:$B$7,"R")&gt;0,"",IF($H$64="Yes","R","Y"))</f>
        <v>Y</v>
      </c>
      <c r="E65" s="15" t="str">
        <f>IF(COUNTIF($B$4:$B$7,"R")&gt;0,"",IF($H$64="Yes","R","Y"))</f>
        <v>Y</v>
      </c>
      <c r="F65" s="15"/>
      <c r="G65" s="9" t="str">
        <f>IF($H$64="Yes","6a. Please provide the name of the direct family member who is an Emory University employee:","")</f>
        <v/>
      </c>
      <c r="H65" s="25"/>
    </row>
    <row r="66" spans="2:8" ht="30.75" hidden="1" customHeight="1" x14ac:dyDescent="0.25">
      <c r="B66" s="5" t="str">
        <f>IF(OR(Home!$D$7="",Home!$D$8="No"),"",IF(ISBLANK(HLOOKUP(Home!$D$7,$D$2:$F$102,ROW(A65),FALSE)),"",IF(H66="",HLOOKUP(Home!$D$7,$D$2:$F$102,ROW(A65),FALSE),IF(C66=FALSE,"C"))))</f>
        <v/>
      </c>
      <c r="C66" s="5" t="b">
        <v>1</v>
      </c>
      <c r="D66" s="15" t="str">
        <f>IF(COUNTIF($B$4:$B$7,"R")&gt;0,"",IF($H$64="Yes","R","Y"))</f>
        <v>Y</v>
      </c>
      <c r="E66" s="15" t="str">
        <f>IF(COUNTIF($B$4:$B$7,"R")&gt;0,"",IF($H$64="Yes","R","Y"))</f>
        <v>Y</v>
      </c>
      <c r="F66" s="15"/>
      <c r="G66" s="9" t="str">
        <f>IF($H$64="Yes","6b. Please provide the relationship of the direct family member to the Emory University Employee:","")</f>
        <v/>
      </c>
      <c r="H66" s="25"/>
    </row>
    <row r="67" spans="2:8" ht="75" hidden="1" x14ac:dyDescent="0.25">
      <c r="B67" s="5" t="str">
        <f>IF(OR(Home!$D$7="",Home!$D$8="No"),"",IF(ISBLANK(HLOOKUP(Home!$D$7,$D$2:$F$102,ROW(A66),FALSE)),"",IF(H67="",HLOOKUP(Home!$D$7,$D$2:$F$102,ROW(A66),FALSE),IF(C67=FALSE,"C"))))</f>
        <v/>
      </c>
      <c r="C67" s="5" t="b">
        <v>1</v>
      </c>
      <c r="D67" s="15" t="str">
        <f>IF(COUNTIF($B$4:$B$7,"R")&gt;0,"",IF($H$5="Yes","Y","R"))</f>
        <v>R</v>
      </c>
      <c r="E67" s="13"/>
      <c r="F67" s="15"/>
      <c r="G67" s="9" t="s">
        <v>1047</v>
      </c>
      <c r="H67" s="25"/>
    </row>
    <row r="68" spans="2:8" ht="45.75" hidden="1" customHeight="1" x14ac:dyDescent="0.25">
      <c r="B68" s="5" t="str">
        <f>IF(OR(Home!$D$7="",Home!$D$8="No"),"",IF(ISBLANK(HLOOKUP(Home!$D$7,$D$2:$F$102,ROW(A67),FALSE)),"",IF(H68="",HLOOKUP(Home!$D$7,$D$2:$F$102,ROW(A67),FALSE),IF(C68=FALSE,"C"))))</f>
        <v/>
      </c>
      <c r="C68" s="5" t="b">
        <f>IF(H68="",TRUE,ISNUMBER(FIND("@",H68,1)+FIND(".",H68,1)))</f>
        <v>1</v>
      </c>
      <c r="D68" s="15" t="str">
        <f>IF(COUNTIF($B$4:$B$7,"R")&gt;0,"",IF($H$67='Drop Down'!$D$2,"R","Y"))</f>
        <v>Y</v>
      </c>
      <c r="E68" s="13"/>
      <c r="F68" s="15"/>
      <c r="G68" s="9" t="str">
        <f>IF($H$67='Drop Down'!$D$2,"7a. Please provide the email address where you would want us to send the notification of our payment to you for SUA Payments.","")</f>
        <v/>
      </c>
      <c r="H68" s="26"/>
    </row>
    <row r="69" spans="2:8" ht="29.45" hidden="1" customHeight="1" x14ac:dyDescent="0.25">
      <c r="B69" s="5" t="str">
        <f>IF(OR(Home!$D$7="",Home!$D$8="No"),"",IF(ISBLANK(HLOOKUP(Home!$D$7,$D$2:$F$102,ROW(A68),FALSE)),"",IF(H69="",HLOOKUP(Home!$D$7,$D$2:$F$102,ROW(A68),FALSE),IF(C69=FALSE,"C"))))</f>
        <v/>
      </c>
      <c r="C69" s="5" t="b">
        <v>1</v>
      </c>
      <c r="D69" s="15" t="str">
        <f>IF(COUNTIF($B$4:$B$7,"R")&gt;0,"",IF($H$67='Drop Down'!$D$5,"R","Y"))</f>
        <v>Y</v>
      </c>
      <c r="E69" s="13"/>
      <c r="F69" s="15"/>
      <c r="G69" s="9" t="str">
        <f>IF($H$67='Drop Down'!$D$5,"7b. Please specify the payment terms that is stated in the contract with Emory.","")</f>
        <v/>
      </c>
      <c r="H69" s="37"/>
    </row>
    <row r="70" spans="2:8" ht="44.45" hidden="1" customHeight="1" x14ac:dyDescent="0.25">
      <c r="B70" s="5" t="str">
        <f>IF(OR(Home!$D$7="",Home!$D$8="No"),"",IF(ISBLANK(HLOOKUP(Home!$D$7,$D$2:$F$102,ROW(A69),FALSE)),"",IF(H70="",HLOOKUP(Home!$D$7,$D$2:$F$102,ROW(A69),FALSE),IF(C70=FALSE,"C"))))</f>
        <v/>
      </c>
      <c r="C70" s="5" t="b">
        <v>1</v>
      </c>
      <c r="D70" s="15" t="str">
        <f>IF(COUNTIF($B$4:$B$7,"R")&gt;0,"",IF($H$67='Drop Down'!$D$5,"R","Y"))</f>
        <v>Y</v>
      </c>
      <c r="E70" s="13"/>
      <c r="F70" s="15"/>
      <c r="G70" s="9" t="str">
        <f>IF($H$67='Drop Down'!$D$5,"7c. When submitting this form, please validate you will submit a copy of the fully executed contract containing the payment term language.","")</f>
        <v/>
      </c>
      <c r="H70" s="37"/>
    </row>
    <row r="71" spans="2:8" ht="31.15" hidden="1" customHeight="1" x14ac:dyDescent="0.25">
      <c r="B71" s="5" t="str">
        <f>IF(OR(Home!$D$7="",Home!$D$8="No"),"",IF(ISBLANK(HLOOKUP(Home!$D$7,$D$2:$F$102,ROW(A70),FALSE)),"",IF(H71="",HLOOKUP(Home!$D$7,$D$2:$F$102,ROW(A70),FALSE),IF(C71=FALSE,"C"))))</f>
        <v/>
      </c>
      <c r="C71" s="5" t="b">
        <v>1</v>
      </c>
      <c r="D71" s="15" t="str">
        <f>IF(COUNTIF($B$4:$B$7,"R")&gt;0,"",IF($H$67='Drop Down'!$D$5,"R","Y"))</f>
        <v>Y</v>
      </c>
      <c r="E71" s="13"/>
      <c r="F71" s="15"/>
      <c r="G71" s="9" t="str">
        <f>IF($H$67='Drop Down'!$D$5,"7d. Please indicate what page number within the fully executed contract, the payment terms can be found.","")</f>
        <v/>
      </c>
      <c r="H71" s="36"/>
    </row>
    <row r="72" spans="2:8" ht="77.25" customHeight="1" x14ac:dyDescent="0.25">
      <c r="B72" s="5" t="str">
        <f>IF(OR(Home!$D$7="",Home!$D$8="No"),"",IF(ISBLANK(HLOOKUP(Home!$D$7,$D$2:$F$102,ROW(A71),FALSE)),"",IF(H72="",HLOOKUP(Home!$D$7,$D$2:$F$102,ROW(A71),FALSE),IF(C72=FALSE,"C"))))</f>
        <v/>
      </c>
      <c r="C72" s="5" t="b">
        <v>1</v>
      </c>
      <c r="D72" s="15" t="str">
        <f>IF(COUNTIF($B$4:$B$7,"R")&gt;0,"",IF(OR($H$5="Yes",$H$67="",RIGHT($H$67,8)="Program."),"Y","R"))</f>
        <v>Y</v>
      </c>
      <c r="E72" s="15" t="str">
        <f t="shared" ref="E72" si="13">IF(COUNTIF($B$4:$B$7,"R")&gt;0,"",IF($H$5="Yes","Y","R"))</f>
        <v>R</v>
      </c>
      <c r="F72" s="15" t="s">
        <v>14</v>
      </c>
      <c r="G72" s="9" t="str">
        <f>IF(AND(Home!$D$7="Company",OR($H$67="",RIGHT($H$67,8)="Program.")),"",CONCATENATE("8. Do you want to be paid via ACH/Direct Deposit? If No is selected, payment will be remitted via check sent to the billing address provided above."," Please note that payments via check take significantly longer to process in comparision to ACH/Direct Deposit."))</f>
        <v>8. Do you want to be paid via ACH/Direct Deposit? If No is selected, payment will be remitted via check sent to the billing address provided above. Please note that payments via check take significantly longer to process in comparision to ACH/Direct Deposit.</v>
      </c>
      <c r="H72" s="25"/>
    </row>
    <row r="73" spans="2:8" ht="90" hidden="1" x14ac:dyDescent="0.25">
      <c r="B73" s="5" t="str">
        <f>IF(OR(Home!$D$7="",Home!$D$8="No"),"",IF(ISBLANK(HLOOKUP(Home!$D$7,$D$2:$F$102,ROW(A72),FALSE)),"",IF(H73="",HLOOKUP(Home!$D$7,$D$2:$F$102,ROW(A72),FALSE),IF(C73=FALSE,"C"))))</f>
        <v/>
      </c>
      <c r="C73" s="5" t="b">
        <v>1</v>
      </c>
      <c r="D73" s="15" t="str">
        <f>IF(COUNTIF($B$4:$B$7,"R")&gt;0,"",IF($H$5="Yes","Y","R"))</f>
        <v>R</v>
      </c>
      <c r="E73" s="13"/>
      <c r="F73" s="15"/>
      <c r="G73" s="9" t="s">
        <v>1046</v>
      </c>
      <c r="H73" s="25"/>
    </row>
    <row r="74" spans="2:8" ht="45" x14ac:dyDescent="0.25">
      <c r="B74" s="5" t="str">
        <f>IF(OR(Home!$D$7="",Home!$D$8="No"),"",IF(ISBLANK(HLOOKUP(Home!$D$7,$D$2:$F$102,ROW(A73),FALSE)),"",IF(H74="",HLOOKUP(Home!$D$7,$D$2:$F$102,ROW(A73),FALSE),IF(C74=FALSE,"C"))))</f>
        <v/>
      </c>
      <c r="C74" s="5" t="b">
        <v>1</v>
      </c>
      <c r="D74" s="15" t="str">
        <f t="shared" ref="D74:E76" si="14">IF(COUNTIF($B$4:$B$7,"R")&gt;0,"",IF($H$5="Yes","Y","R"))</f>
        <v>R</v>
      </c>
      <c r="E74" s="15" t="str">
        <f t="shared" si="14"/>
        <v>R</v>
      </c>
      <c r="F74" s="15" t="s">
        <v>14</v>
      </c>
      <c r="G74" s="9" t="s">
        <v>82</v>
      </c>
      <c r="H74" s="25"/>
    </row>
    <row r="75" spans="2:8" ht="155.25" customHeight="1" x14ac:dyDescent="0.25">
      <c r="B75" s="5" t="str">
        <f>IF(OR(Home!$D$7="",Home!$D$8="No"),"",IF(ISBLANK(HLOOKUP(Home!$D$7,$D$2:$F$102,ROW(A74),FALSE)),"",IF(H75="",HLOOKUP(Home!$D$7,$D$2:$F$102,ROW(A74),FALSE),IF(C75=FALSE,"C"))))</f>
        <v/>
      </c>
      <c r="C75" s="1" t="b">
        <v>1</v>
      </c>
      <c r="D75" s="15" t="str">
        <f t="shared" si="14"/>
        <v>R</v>
      </c>
      <c r="E75" s="15" t="str">
        <f t="shared" si="14"/>
        <v>R</v>
      </c>
      <c r="F75" s="15" t="s">
        <v>14</v>
      </c>
      <c r="G75"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5" s="32"/>
    </row>
    <row r="76" spans="2:8" ht="19.5" customHeight="1" x14ac:dyDescent="0.25">
      <c r="B76" s="5" t="str">
        <f>IF(OR(Home!$D$7="",Home!$D$8="No"),"",IF(ISBLANK(HLOOKUP(Home!$D$7,$D$2:$F$102,ROW(A75),FALSE)),"",IF(H76="",HLOOKUP(Home!$D$7,$D$2:$F$102,ROW(A75),FALSE),IF(C76=FALSE,"C"))))</f>
        <v/>
      </c>
      <c r="C76" s="5" t="b">
        <v>1</v>
      </c>
      <c r="D76" s="15" t="str">
        <f t="shared" si="14"/>
        <v>R</v>
      </c>
      <c r="E76" s="15" t="str">
        <f t="shared" si="14"/>
        <v>R</v>
      </c>
      <c r="F76" s="15" t="s">
        <v>14</v>
      </c>
      <c r="G76" s="9" t="s">
        <v>101</v>
      </c>
      <c r="H76" s="27"/>
    </row>
    <row r="77" spans="2:8" ht="15" customHeight="1" x14ac:dyDescent="0.25">
      <c r="B77" s="5" t="str">
        <f>IF(OR(Home!$D$7="",Home!$D$8="No"),"",IF(ISBLANK(HLOOKUP(Home!$D$7,$D$2:$F$102,ROW(A76),FALSE)),"",IF(H77="",HLOOKUP(Home!$D$7,$D$2:$F$102,ROW(A76),FALSE),IF(C77=FALSE,"C"))))</f>
        <v/>
      </c>
      <c r="C77" s="5" t="b">
        <v>1</v>
      </c>
      <c r="D77" s="15" t="str">
        <f t="shared" ref="D77:E77" si="15">IF(COUNTIF($B$4:$B$7,"R")&gt;0,"","Y")</f>
        <v>Y</v>
      </c>
      <c r="E77" s="15" t="str">
        <f t="shared" si="15"/>
        <v>Y</v>
      </c>
      <c r="F77" s="15" t="s">
        <v>22</v>
      </c>
      <c r="G77" s="48"/>
      <c r="H77" s="58"/>
    </row>
    <row r="78" spans="2:8" ht="26.25" x14ac:dyDescent="0.25">
      <c r="B78" s="5" t="str">
        <f>IF(OR(Home!$D$7="",Home!$D$8="No"),"",IF(ISBLANK(HLOOKUP(Home!$D$7,$D$2:$F$102,ROW(A77),FALSE)),"",IF(H78="",HLOOKUP(Home!$D$7,$D$2:$F$102,ROW(A77),FALSE),IF(C78=FALSE,"C"))))</f>
        <v/>
      </c>
      <c r="C78" s="1" t="b">
        <v>1</v>
      </c>
      <c r="D78" s="16" t="str">
        <f t="shared" ref="D78:F79" si="16">IF(COUNTIF($B$4:$B$7,"R")&gt;0,"",IF(OR($H$5="Yes",$H$72="Yes"),"Y",""))</f>
        <v/>
      </c>
      <c r="E78" s="16" t="str">
        <f t="shared" si="16"/>
        <v/>
      </c>
      <c r="F78" s="16" t="str">
        <f t="shared" si="16"/>
        <v/>
      </c>
      <c r="G78" s="51" t="s">
        <v>95</v>
      </c>
      <c r="H78" s="51"/>
    </row>
    <row r="79" spans="2:8" x14ac:dyDescent="0.25">
      <c r="B79" s="5" t="str">
        <f>IF(OR(Home!$D$7="",Home!$D$8="No"),"",IF(ISBLANK(HLOOKUP(Home!$D$7,$D$2:$F$102,ROW(A78),FALSE)),"",IF(H79="",HLOOKUP(Home!$D$7,$D$2:$F$102,ROW(A78),FALSE),IF(C79=FALSE,"C"))))</f>
        <v/>
      </c>
      <c r="C79" s="1" t="b">
        <v>1</v>
      </c>
      <c r="D79" s="16" t="str">
        <f t="shared" si="16"/>
        <v/>
      </c>
      <c r="E79" s="16" t="str">
        <f t="shared" si="16"/>
        <v/>
      </c>
      <c r="F79" s="16" t="str">
        <f t="shared" si="16"/>
        <v/>
      </c>
      <c r="G79" s="52" t="str">
        <f>Home!D7&amp;" Information"</f>
        <v xml:space="preserve"> Information</v>
      </c>
      <c r="H79" s="53"/>
    </row>
    <row r="80" spans="2:8" x14ac:dyDescent="0.25">
      <c r="B80" s="5" t="str">
        <f>IF(OR(Home!$D$7="",Home!$D$8="No"),"",IF(ISBLANK(HLOOKUP(Home!$D$7,$D$2:$F$102,ROW(A79),FALSE)),"",IF(H80="",HLOOKUP(Home!$D$7,$D$2:$F$102,ROW(A79),FALSE),IF(C80=FALSE,"C"))))</f>
        <v/>
      </c>
      <c r="C80" s="1" t="b">
        <v>1</v>
      </c>
      <c r="D80" s="16" t="str">
        <f>IF(COUNTIF($B$4:$B$7,"R")&gt;0,"",IF(OR($H$5="Yes",$H$72="Yes"),"R",""))</f>
        <v/>
      </c>
      <c r="E80" s="16" t="str">
        <f>IF(COUNTIF($B$4:$B$7,"R")&gt;0,"",IF(OR($H$5="Yes",$H$72="Yes"),"R",""))</f>
        <v/>
      </c>
      <c r="F80" s="16" t="str">
        <f>IF(COUNTIF($B$4:$B$7,"R")&gt;0,"",IF(OR($H$5="Yes",$H$72="Yes"),"R",""))</f>
        <v/>
      </c>
      <c r="G80" s="3" t="str">
        <f>Home!D7&amp;" Name:"</f>
        <v xml:space="preserve"> Name:</v>
      </c>
      <c r="H80" s="25"/>
    </row>
    <row r="81" spans="2:8" hidden="1" x14ac:dyDescent="0.25">
      <c r="B81" s="5" t="str">
        <f>IF(OR(Home!$D$7="",Home!$D$8="No"),"",IF(ISBLANK(HLOOKUP(Home!$D$7,$D$2:$F$102,ROW(A80),FALSE)),"",IF(H81="",HLOOKUP(Home!$D$7,$D$2:$F$102,ROW(A80),FALSE),IF(C81=FALSE,"C"))))</f>
        <v/>
      </c>
      <c r="C81" s="1" t="b">
        <v>1</v>
      </c>
      <c r="D81" s="16" t="str">
        <f t="shared" ref="D81:F86" si="17">IF(COUNTIF($B$4:$B$7,"R")&gt;0,"",IF(OR($H$5="Yes",$H$72="Yes"),"R",""))</f>
        <v/>
      </c>
      <c r="E81" s="14"/>
      <c r="F81" s="14"/>
      <c r="G81" s="3" t="str">
        <f>Home!D7&amp;" Division Name:"</f>
        <v xml:space="preserve"> Division Name:</v>
      </c>
      <c r="H81" s="25"/>
    </row>
    <row r="82" spans="2:8" hidden="1" x14ac:dyDescent="0.25">
      <c r="B82" s="5" t="str">
        <f>IF(OR(Home!$D$7="",Home!$D$8="No"),"",IF(ISBLANK(HLOOKUP(Home!$D$7,$D$2:$F$102,ROW(A81),FALSE)),"",IF(H82="",HLOOKUP(Home!$D$7,$D$2:$F$102,ROW(A81),FALSE),IF(C82=FALSE,"C"))))</f>
        <v/>
      </c>
      <c r="C82" s="5" t="b">
        <f>ISNUMBER(H82+0)</f>
        <v>1</v>
      </c>
      <c r="D82" s="16" t="str">
        <f t="shared" si="17"/>
        <v/>
      </c>
      <c r="E82" s="13"/>
      <c r="F82" s="13"/>
      <c r="G82" s="9" t="s">
        <v>15</v>
      </c>
      <c r="H82" s="25"/>
    </row>
    <row r="83" spans="2:8" x14ac:dyDescent="0.25">
      <c r="B83" s="5" t="str">
        <f>IF(OR(Home!$D$7="",Home!$D$8="No"),"",IF(ISBLANK(HLOOKUP(Home!$D$7,$D$2:$F$102,ROW(A82),FALSE)),"",IF(H83="",HLOOKUP(Home!$D$7,$D$2:$F$102,ROW(A82),FALSE),IF(C83=FALSE,"C"))))</f>
        <v/>
      </c>
      <c r="C83" s="5" t="b">
        <f>ISNUMBER(H83+0)</f>
        <v>1</v>
      </c>
      <c r="D83" s="16" t="str">
        <f t="shared" si="17"/>
        <v/>
      </c>
      <c r="E83" s="16" t="str">
        <f t="shared" si="17"/>
        <v/>
      </c>
      <c r="F83" s="16" t="str">
        <f t="shared" si="17"/>
        <v/>
      </c>
      <c r="G83" s="9" t="str">
        <f>IF(OR(Home!$D$7="Study Participant",Home!$D$7="Individual"),"Social Security Number (9 Digits):","Taxpayer Identification Number (9 Digits):")</f>
        <v>Taxpayer Identification Number (9 Digits):</v>
      </c>
      <c r="H83" s="25"/>
    </row>
    <row r="84" spans="2:8" x14ac:dyDescent="0.25">
      <c r="B84" s="5" t="str">
        <f>IF(OR(Home!$D$7="",Home!$D$8="No"),"",IF(ISBLANK(HLOOKUP(Home!$D$7,$D$2:$F$102,ROW(A83),FALSE)),"",IF(H84="",HLOOKUP(Home!$D$7,$D$2:$F$102,ROW(A83),FALSE),IF(C84=FALSE,"C"))))</f>
        <v/>
      </c>
      <c r="C84" s="5" t="b">
        <v>1</v>
      </c>
      <c r="D84" s="16" t="str">
        <f t="shared" si="17"/>
        <v/>
      </c>
      <c r="E84" s="16" t="str">
        <f t="shared" si="17"/>
        <v/>
      </c>
      <c r="F84" s="16" t="str">
        <f t="shared" si="17"/>
        <v/>
      </c>
      <c r="G84" s="3" t="str">
        <f>Home!D7&amp;" ACH Remittance Contact Name:"</f>
        <v xml:space="preserve"> ACH Remittance Contact Name:</v>
      </c>
      <c r="H84" s="25"/>
    </row>
    <row r="85" spans="2:8" x14ac:dyDescent="0.25">
      <c r="B85" s="5" t="str">
        <f>IF(OR(Home!$D$7="",Home!$D$8="No"),"",IF(ISBLANK(HLOOKUP(Home!$D$7,$D$2:$F$102,ROW(A84),FALSE)),"",IF(H85="",HLOOKUP(Home!$D$7,$D$2:$F$102,ROW(A84),FALSE),IF(C85=FALSE,"C"))))</f>
        <v/>
      </c>
      <c r="C85" s="5" t="b">
        <f>AND(ISNUMBER(H85+0),LEFT(H85,1)="1")</f>
        <v>0</v>
      </c>
      <c r="D85" s="16" t="str">
        <f t="shared" si="17"/>
        <v/>
      </c>
      <c r="E85" s="16" t="str">
        <f t="shared" si="17"/>
        <v/>
      </c>
      <c r="F85" s="16" t="str">
        <f t="shared" si="17"/>
        <v/>
      </c>
      <c r="G85" s="3" t="str">
        <f>Home!D7&amp;" ACH Remittance Contact Phone:"</f>
        <v xml:space="preserve"> ACH Remittance Contact Phone:</v>
      </c>
      <c r="H85" s="25"/>
    </row>
    <row r="86" spans="2:8" x14ac:dyDescent="0.25">
      <c r="B86" s="5" t="str">
        <f>IF(OR(Home!$D$7="",Home!$D$8="No"),"",IF(ISBLANK(HLOOKUP(Home!$D$7,$D$2:$F$102,ROW(A85),FALSE)),"",IF(H86="",HLOOKUP(Home!$D$7,$D$2:$F$102,ROW(A85),FALSE),IF(C86=FALSE,"C"))))</f>
        <v/>
      </c>
      <c r="C86" s="5" t="b">
        <f>IF(H86="",TRUE,ISNUMBER(FIND("@",H86,1)+FIND(".",H86,1)))</f>
        <v>1</v>
      </c>
      <c r="D86" s="16" t="str">
        <f t="shared" si="17"/>
        <v/>
      </c>
      <c r="E86" s="16" t="str">
        <f t="shared" si="17"/>
        <v/>
      </c>
      <c r="F86" s="16" t="str">
        <f t="shared" si="17"/>
        <v/>
      </c>
      <c r="G86" s="3" t="str">
        <f>Home!D7&amp;" ACH Remittance Email:"</f>
        <v xml:space="preserve"> ACH Remittance Email:</v>
      </c>
      <c r="H86" s="26"/>
    </row>
    <row r="87" spans="2:8" x14ac:dyDescent="0.25">
      <c r="B87" s="5" t="str">
        <f>IF(OR(Home!$D$7="",Home!$D$8="No"),"",IF(ISBLANK(HLOOKUP(Home!$D$7,$D$2:$F$102,ROW(A86),FALSE)),"",IF(H87="",HLOOKUP(Home!$D$7,$D$2:$F$102,ROW(A86),FALSE),IF(C87=FALSE,"C"))))</f>
        <v/>
      </c>
      <c r="C87" s="1" t="b">
        <v>1</v>
      </c>
      <c r="D87" s="16" t="str">
        <f>IF(COUNTIF($B$4:$B$7,"R")&gt;0,"",IF(OR($H$5="Yes",$H$72="Yes"),"Y",""))</f>
        <v/>
      </c>
      <c r="E87" s="16" t="str">
        <f>IF(COUNTIF($B$4:$B$7,"R")&gt;0,"",IF(OR($H$5="Yes",$H$72="Yes"),"Y",""))</f>
        <v/>
      </c>
      <c r="F87" s="16" t="str">
        <f>IF(COUNTIF($B$4:$B$7,"R")&gt;0,"",IF(OR($H$5="Yes",$H$72="Yes"),"Y",""))</f>
        <v/>
      </c>
      <c r="G87" s="52" t="str">
        <f>Home!D7&amp;" Remittance Address"</f>
        <v xml:space="preserve"> Remittance Address</v>
      </c>
      <c r="H87" s="53"/>
    </row>
    <row r="88" spans="2:8" x14ac:dyDescent="0.25">
      <c r="B88" s="5" t="str">
        <f>IF(OR(Home!$D$7="",Home!$D$8="No"),"",IF(ISBLANK(HLOOKUP(Home!$D$7,$D$2:$F$102,ROW(A87),FALSE)),"",IF(H88="",HLOOKUP(Home!$D$7,$D$2:$F$102,ROW(A87),FALSE),IF(C88=FALSE,"C"))))</f>
        <v/>
      </c>
      <c r="C88" s="5" t="b">
        <f>LEN(H88)&lt;=35</f>
        <v>1</v>
      </c>
      <c r="D88" s="16" t="str">
        <f>IF(COUNTIF($B$4:$B$7,"R")&gt;0,"",IF(OR($H$5="Yes",$H$72="Yes"),"R",""))</f>
        <v/>
      </c>
      <c r="E88" s="16" t="str">
        <f>IF(COUNTIF($B$4:$B$7,"R")&gt;0,"",IF(OR($H$5="Yes",$H$72="Yes"),"R",""))</f>
        <v/>
      </c>
      <c r="F88" s="16" t="str">
        <f>IF(COUNTIF($B$4:$B$7,"R")&gt;0,"",IF(OR($H$5="Yes",$H$72="Yes"),"R",""))</f>
        <v/>
      </c>
      <c r="G88" s="3" t="str">
        <f>Home!D7&amp;" Remittance Address Line 1:"</f>
        <v xml:space="preserve"> Remittance Address Line 1:</v>
      </c>
      <c r="H88" s="25"/>
    </row>
    <row r="89" spans="2:8" x14ac:dyDescent="0.25">
      <c r="B89" s="5" t="str">
        <f>IF(OR(Home!$D$7="",Home!$D$8="No"),"",IF(ISBLANK(HLOOKUP(Home!$D$7,$D$2:$F$102,ROW(A88),FALSE)),"",IF(H89="",HLOOKUP(Home!$D$7,$D$2:$F$102,ROW(A88),FALSE),IF(C89=FALSE,"C"))))</f>
        <v/>
      </c>
      <c r="C89" s="5" t="b">
        <f>LEN(H89)&lt;=35</f>
        <v>1</v>
      </c>
      <c r="D89" s="16" t="str">
        <f>IF(COUNTIF($B$4:$B$7,"R")&gt;0,"",IF(OR($H$5="Yes",$H$72="Yes"),"Y",""))</f>
        <v/>
      </c>
      <c r="E89" s="16" t="str">
        <f>IF(COUNTIF($B$4:$B$7,"R")&gt;0,"",IF(OR($H$5="Yes",$H$72="Yes"),"Y",""))</f>
        <v/>
      </c>
      <c r="F89" s="16" t="str">
        <f>IF(COUNTIF($B$4:$B$7,"R")&gt;0,"",IF(OR($H$5="Yes",$H$72="Yes"),"Y",""))</f>
        <v/>
      </c>
      <c r="G89" s="3" t="str">
        <f>Home!D7&amp;" Remittance Address Line 2:"</f>
        <v xml:space="preserve"> Remittance Address Line 2:</v>
      </c>
      <c r="H89" s="25"/>
    </row>
    <row r="90" spans="2:8" x14ac:dyDescent="0.25">
      <c r="B90" s="5" t="str">
        <f>IF(OR(Home!$D$7="",Home!$D$8="No"),"",IF(ISBLANK(HLOOKUP(Home!$D$7,$D$2:$F$102,ROW(A89),FALSE)),"",IF(H90="",HLOOKUP(Home!$D$7,$D$2:$F$102,ROW(A89),FALSE),IF(C90=FALSE,"C"))))</f>
        <v/>
      </c>
      <c r="C90" s="5" t="b">
        <v>1</v>
      </c>
      <c r="D90" s="16" t="str">
        <f t="shared" ref="D90:F92" si="18">IF(COUNTIF($B$4:$B$7,"R")&gt;0,"",IF(OR($H$5="Yes",$H$72="Yes"),"R",""))</f>
        <v/>
      </c>
      <c r="E90" s="16" t="str">
        <f t="shared" si="18"/>
        <v/>
      </c>
      <c r="F90" s="16" t="str">
        <f t="shared" si="18"/>
        <v/>
      </c>
      <c r="G90" s="3" t="s">
        <v>6</v>
      </c>
      <c r="H90" s="25"/>
    </row>
    <row r="91" spans="2:8" x14ac:dyDescent="0.25">
      <c r="B91" s="5" t="str">
        <f>IF(OR(Home!$D$7="",Home!$D$8="No"),"",IF(ISBLANK(HLOOKUP(Home!$D$7,$D$2:$F$102,ROW(A90),FALSE)),"",IF(H91="",HLOOKUP(Home!$D$7,$D$2:$F$102,ROW(A90),FALSE),IF(C91=FALSE,"C"))))</f>
        <v/>
      </c>
      <c r="C91" s="5" t="b">
        <v>1</v>
      </c>
      <c r="D91" s="16" t="str">
        <f t="shared" si="18"/>
        <v/>
      </c>
      <c r="E91" s="16" t="str">
        <f t="shared" si="18"/>
        <v/>
      </c>
      <c r="F91" s="16" t="str">
        <f t="shared" si="18"/>
        <v/>
      </c>
      <c r="G91" s="3" t="s">
        <v>7</v>
      </c>
      <c r="H91" s="25"/>
    </row>
    <row r="92" spans="2:8" x14ac:dyDescent="0.25">
      <c r="B92" s="5" t="str">
        <f>IF(OR(Home!$D$7="",Home!$D$8="No"),"",IF(ISBLANK(HLOOKUP(Home!$D$7,$D$2:$F$102,ROW(A91),FALSE)),"",IF(H92="",HLOOKUP(Home!$D$7,$D$2:$F$102,ROW(A91),FALSE),IF(C92=FALSE,"C"))))</f>
        <v/>
      </c>
      <c r="C92" s="5" t="b">
        <v>1</v>
      </c>
      <c r="D92" s="16" t="str">
        <f t="shared" si="18"/>
        <v/>
      </c>
      <c r="E92" s="16" t="str">
        <f t="shared" si="18"/>
        <v/>
      </c>
      <c r="F92" s="16" t="str">
        <f t="shared" si="18"/>
        <v/>
      </c>
      <c r="G92" s="3" t="s">
        <v>8</v>
      </c>
      <c r="H92" s="25"/>
    </row>
    <row r="93" spans="2:8" x14ac:dyDescent="0.25">
      <c r="B93" s="5" t="str">
        <f>IF(OR(Home!$D$7="",Home!$D$8="No"),"",IF(ISBLANK(HLOOKUP(Home!$D$7,$D$2:$F$102,ROW(A92),FALSE)),"",IF(H93="",HLOOKUP(Home!$D$7,$D$2:$F$102,ROW(A92),FALSE),IF(C93=FALSE,"C"))))</f>
        <v/>
      </c>
      <c r="C93" s="1" t="b">
        <v>1</v>
      </c>
      <c r="D93" s="16" t="str">
        <f>IF(COUNTIF($B$4:$B$7,"R")&gt;0,"",IF(OR($H$5="Yes",$H$72="Yes"),"Y",""))</f>
        <v/>
      </c>
      <c r="E93" s="16" t="str">
        <f>IF(COUNTIF($B$4:$B$7,"R")&gt;0,"",IF(OR($H$5="Yes",$H$72="Yes"),"Y",""))</f>
        <v/>
      </c>
      <c r="F93" s="16" t="str">
        <f>IF(COUNTIF($B$4:$B$7,"R")&gt;0,"",IF(OR($H$5="Yes",$H$72="Yes"),"Y",""))</f>
        <v/>
      </c>
      <c r="G93" s="52" t="s">
        <v>24</v>
      </c>
      <c r="H93" s="53"/>
    </row>
    <row r="94" spans="2:8" x14ac:dyDescent="0.25">
      <c r="B94" s="5" t="str">
        <f>IF(OR(Home!$D$7="",Home!$D$8="No"),"",IF(ISBLANK(HLOOKUP(Home!$D$7,$D$2:$F$102,ROW(A93),FALSE)),"",IF(H94="",HLOOKUP(Home!$D$7,$D$2:$F$102,ROW(A93),FALSE),IF(C94=FALSE,"C"))))</f>
        <v/>
      </c>
      <c r="C94" s="1" t="b">
        <v>1</v>
      </c>
      <c r="D94" s="16" t="str">
        <f t="shared" ref="D94:F96" si="19">IF(COUNTIF($B$4:$B$7,"R")&gt;0,"",IF(OR($H$5="Yes",$H$72="Yes"),"R",""))</f>
        <v/>
      </c>
      <c r="E94" s="16" t="str">
        <f t="shared" si="19"/>
        <v/>
      </c>
      <c r="F94" s="16" t="str">
        <f t="shared" si="19"/>
        <v/>
      </c>
      <c r="G94" s="3" t="s">
        <v>25</v>
      </c>
      <c r="H94" s="25"/>
    </row>
    <row r="95" spans="2:8" x14ac:dyDescent="0.25">
      <c r="B95" s="5" t="str">
        <f>IF(OR(Home!$D$7="",Home!$D$8="No"),"",IF(ISBLANK(HLOOKUP(Home!$D$7,$D$2:$F$102,ROW(A94),FALSE)),"",IF(H95="",HLOOKUP(Home!$D$7,$D$2:$F$102,ROW(A94),FALSE),IF(C95=FALSE,"C"))))</f>
        <v/>
      </c>
      <c r="C95" s="5" t="b">
        <f>ISNUMBER(H95+0)</f>
        <v>1</v>
      </c>
      <c r="D95" s="16" t="str">
        <f t="shared" si="19"/>
        <v/>
      </c>
      <c r="E95" s="16" t="str">
        <f t="shared" si="19"/>
        <v/>
      </c>
      <c r="F95" s="16" t="str">
        <f t="shared" si="19"/>
        <v/>
      </c>
      <c r="G95" s="3" t="s">
        <v>26</v>
      </c>
      <c r="H95" s="25"/>
    </row>
    <row r="96" spans="2:8" x14ac:dyDescent="0.25">
      <c r="B96" s="5" t="str">
        <f>IF(OR(Home!$D$7="",Home!$D$8="No"),"",IF(ISBLANK(HLOOKUP(Home!$D$7,$D$2:$F$102,ROW(A95),FALSE)),"",IF(H96="",HLOOKUP(Home!$D$7,$D$2:$F$102,ROW(A95),FALSE),IF(C96=FALSE,"C"))))</f>
        <v/>
      </c>
      <c r="C96" s="5" t="b">
        <f>ISNUMBER(H96+0)</f>
        <v>1</v>
      </c>
      <c r="D96" s="16" t="str">
        <f t="shared" si="19"/>
        <v/>
      </c>
      <c r="E96" s="16" t="str">
        <f t="shared" si="19"/>
        <v/>
      </c>
      <c r="F96" s="16" t="str">
        <f t="shared" si="19"/>
        <v/>
      </c>
      <c r="G96" s="3" t="s">
        <v>27</v>
      </c>
      <c r="H96" s="25"/>
    </row>
    <row r="97" spans="2:8" x14ac:dyDescent="0.25">
      <c r="B97" s="5" t="str">
        <f>IF(OR(Home!$D$7="",Home!$D$8="No"),"",IF(ISBLANK(HLOOKUP(Home!$D$7,$D$2:$F$102,ROW(A96),FALSE)),"",IF(H97="",HLOOKUP(Home!$D$7,$D$2:$F$102,ROW(A96),FALSE),IF(C97=FALSE,"C"))))</f>
        <v/>
      </c>
      <c r="C97" s="1" t="b">
        <v>1</v>
      </c>
      <c r="D97" s="16" t="str">
        <f t="shared" ref="D97:F98" si="20">IF(COUNTIF($B$4:$B$7,"R")&gt;0,"",IF(OR($H$5="Yes",$H$72="Yes"),"Y",""))</f>
        <v/>
      </c>
      <c r="E97" s="16" t="str">
        <f t="shared" si="20"/>
        <v/>
      </c>
      <c r="F97" s="16" t="str">
        <f t="shared" si="20"/>
        <v/>
      </c>
      <c r="G97" s="52" t="str">
        <f>Home!D7&amp;" Authorization"</f>
        <v xml:space="preserve"> Authorization</v>
      </c>
      <c r="H97" s="53"/>
    </row>
    <row r="98" spans="2:8" x14ac:dyDescent="0.25">
      <c r="B98" s="5" t="str">
        <f>IF(OR(Home!$D$7="",Home!$D$8="No"),"",IF(ISBLANK(HLOOKUP(Home!$D$7,$D$2:$F$102,ROW(A97),FALSE)),"",IF(H98="",HLOOKUP(Home!$D$7,$D$2:$F$102,ROW(A97),FALSE),IF(C98=FALSE,"C"))))</f>
        <v/>
      </c>
      <c r="C98" s="1" t="b">
        <v>1</v>
      </c>
      <c r="D98" s="16" t="str">
        <f t="shared" si="20"/>
        <v/>
      </c>
      <c r="E98" s="16" t="str">
        <f t="shared" si="20"/>
        <v/>
      </c>
      <c r="F98" s="16" t="str">
        <f t="shared" si="20"/>
        <v/>
      </c>
      <c r="G98" s="49" t="s">
        <v>94</v>
      </c>
      <c r="H98" s="50"/>
    </row>
    <row r="99" spans="2:8" ht="152.25" customHeight="1" x14ac:dyDescent="0.25">
      <c r="B99" s="5" t="str">
        <f>IF(OR(Home!$D$7="",Home!$D$8="No"),"",IF(ISBLANK(HLOOKUP(Home!$D$7,$D$2:$F$102,ROW(A98),FALSE)),"",IF(H99="",HLOOKUP(Home!$D$7,$D$2:$F$102,ROW(A98),FALSE),IF(C99=FALSE,"C"))))</f>
        <v/>
      </c>
      <c r="C99" s="1" t="b">
        <v>1</v>
      </c>
      <c r="D99" s="16" t="str">
        <f t="shared" ref="D99:F100" si="21">IF(COUNTIF($B$4:$B$7,"R")&gt;0,"",IF(OR($H$5="Yes",$H$72="Yes"),"R",""))</f>
        <v/>
      </c>
      <c r="E99" s="16" t="str">
        <f t="shared" si="21"/>
        <v/>
      </c>
      <c r="F99" s="16" t="str">
        <f t="shared" si="21"/>
        <v/>
      </c>
      <c r="G99"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9" s="32"/>
    </row>
    <row r="100" spans="2:8" x14ac:dyDescent="0.25">
      <c r="B100" s="5" t="str">
        <f>IF(OR(Home!$D$7="",Home!$D$8="No"),"",IF(ISBLANK(HLOOKUP(Home!$D$7,$D$2:$F$102,ROW(A99),FALSE)),"",IF(H100="",HLOOKUP(Home!$D$7,$D$2:$F$102,ROW(A99),FALSE),IF(C100=FALSE,"C"))))</f>
        <v/>
      </c>
      <c r="C100" s="1" t="b">
        <v>1</v>
      </c>
      <c r="D100" s="16" t="str">
        <f t="shared" si="21"/>
        <v/>
      </c>
      <c r="E100" s="16" t="str">
        <f t="shared" si="21"/>
        <v/>
      </c>
      <c r="F100" s="16" t="str">
        <f t="shared" si="21"/>
        <v/>
      </c>
      <c r="G100" s="3" t="s">
        <v>101</v>
      </c>
      <c r="H100" s="27"/>
    </row>
    <row r="101" spans="2:8" hidden="1" x14ac:dyDescent="0.25">
      <c r="B101" s="5" t="str">
        <f>IF(OR(Home!$D$7="",Home!$D$8="No"),"",IF(ISBLANK(HLOOKUP(Home!$D$7,$D$2:$F$102,ROW(A100),FALSE)),"",IF(H101="",HLOOKUP(Home!$D$7,$D$2:$F$102,ROW(A100),FALSE),IF(C101=FALSE,"C"))))</f>
        <v/>
      </c>
      <c r="C101" s="1" t="b">
        <v>1</v>
      </c>
      <c r="D101" s="16" t="str">
        <f>IF(COUNTIF($B$4:$B$7,"R")&gt;0,"",IF(OR($H$5="Yes",$H$72="Yes"),"R",""))</f>
        <v/>
      </c>
      <c r="E101" s="14"/>
      <c r="F101" s="14"/>
      <c r="G101" s="3" t="s">
        <v>100</v>
      </c>
      <c r="H101" s="25"/>
    </row>
    <row r="102" spans="2:8" hidden="1" x14ac:dyDescent="0.25">
      <c r="B102" s="5" t="str">
        <f>IF(OR(Home!$D$7="",Home!$D$8="No"),"",IF(ISBLANK(HLOOKUP(Home!$D$7,$D$2:$F$102,ROW(A101),FALSE)),"",IF(H102="",HLOOKUP(Home!$D$7,$D$2:$F$102,ROW(A101),FALSE),IF(C102=FALSE,"C"))))</f>
        <v/>
      </c>
      <c r="C102" s="5" t="b">
        <f>AND(ISNUMBER(H102+0),LEFT(H102,1)="1")</f>
        <v>0</v>
      </c>
      <c r="D102" s="16" t="str">
        <f>IF(COUNTIF($B$4:$B$7,"R")&gt;0,"",IF(OR($H$5="Yes",$H$72="Yes"),"R",""))</f>
        <v/>
      </c>
      <c r="E102" s="14"/>
      <c r="F102" s="14"/>
      <c r="G102" s="3" t="s">
        <v>99</v>
      </c>
      <c r="H102" s="25"/>
    </row>
  </sheetData>
  <sheetProtection algorithmName="SHA-512" hashValue="j2gpkI2zM1mqHIIWOi39op2hMsih8a2luPMbxmwR4U5KgYGzaLiVay/uCP5El+2ZziDZCOp8s31KYfT8iTqEWg==" saltValue="iVCDO0LSEYd3FYFt3oBX5g==" spinCount="100000" sheet="1" formatRows="0" selectLockedCells="1"/>
  <autoFilter ref="B2:F102" xr:uid="{306DB0EA-EB5A-4E84-8716-9E6116845EFE}">
    <filterColumn colId="4">
      <customFilters>
        <customFilter operator="notEqual" val=" "/>
      </customFilters>
    </filterColumn>
  </autoFilter>
  <mergeCells count="16">
    <mergeCell ref="G87:H87"/>
    <mergeCell ref="G93:H93"/>
    <mergeCell ref="G97:H97"/>
    <mergeCell ref="G98:H98"/>
    <mergeCell ref="G48:H48"/>
    <mergeCell ref="G57:H57"/>
    <mergeCell ref="G58:H58"/>
    <mergeCell ref="G77:H77"/>
    <mergeCell ref="G78:H78"/>
    <mergeCell ref="G79:H79"/>
    <mergeCell ref="G37:H37"/>
    <mergeCell ref="G2:H2"/>
    <mergeCell ref="G3:H3"/>
    <mergeCell ref="G8:H8"/>
    <mergeCell ref="G9:H9"/>
    <mergeCell ref="G29:H29"/>
  </mergeCells>
  <conditionalFormatting sqref="G2:H70 G72:H102">
    <cfRule type="expression" dxfId="16" priority="13">
      <formula>$B2=""</formula>
    </cfRule>
  </conditionalFormatting>
  <conditionalFormatting sqref="J2">
    <cfRule type="expression" dxfId="15" priority="14">
      <formula>$B2=""</formula>
    </cfRule>
  </conditionalFormatting>
  <conditionalFormatting sqref="G2:H2">
    <cfRule type="expression" dxfId="14" priority="17">
      <formula>LEFT($G$2,9)="Completed"</formula>
    </cfRule>
  </conditionalFormatting>
  <conditionalFormatting sqref="G69:H69">
    <cfRule type="expression" dxfId="13" priority="10">
      <formula>$B69=""</formula>
    </cfRule>
  </conditionalFormatting>
  <conditionalFormatting sqref="H69">
    <cfRule type="expression" dxfId="12" priority="11">
      <formula>$B69="C"</formula>
    </cfRule>
    <cfRule type="expression" dxfId="11" priority="12">
      <formula>$B69="R"</formula>
    </cfRule>
  </conditionalFormatting>
  <conditionalFormatting sqref="G70:H70">
    <cfRule type="expression" dxfId="10" priority="7">
      <formula>$B70=""</formula>
    </cfRule>
  </conditionalFormatting>
  <conditionalFormatting sqref="H70">
    <cfRule type="expression" dxfId="9" priority="8">
      <formula>$B70="C"</formula>
    </cfRule>
    <cfRule type="expression" dxfId="8" priority="9">
      <formula>$B70="R"</formula>
    </cfRule>
  </conditionalFormatting>
  <conditionalFormatting sqref="H3:H70 H72:H102">
    <cfRule type="expression" dxfId="7" priority="15">
      <formula>$B3="C"</formula>
    </cfRule>
    <cfRule type="expression" dxfId="6" priority="16">
      <formula>$B3="R"</formula>
    </cfRule>
  </conditionalFormatting>
  <conditionalFormatting sqref="G71:H71">
    <cfRule type="expression" dxfId="5" priority="4">
      <formula>$B71=""</formula>
    </cfRule>
  </conditionalFormatting>
  <conditionalFormatting sqref="G71:H71">
    <cfRule type="expression" dxfId="4" priority="1">
      <formula>$B71=""</formula>
    </cfRule>
  </conditionalFormatting>
  <conditionalFormatting sqref="H71">
    <cfRule type="expression" dxfId="3" priority="2">
      <formula>$B71="C"</formula>
    </cfRule>
    <cfRule type="expression" dxfId="2" priority="3">
      <formula>$B71="R"</formula>
    </cfRule>
  </conditionalFormatting>
  <conditionalFormatting sqref="H71">
    <cfRule type="expression" dxfId="1" priority="5">
      <formula>$B71="C"</formula>
    </cfRule>
    <cfRule type="expression" dxfId="0" priority="6">
      <formula>$B71="R"</formula>
    </cfRule>
  </conditionalFormatting>
  <dataValidations count="18">
    <dataValidation type="list" allowBlank="1" showInputMessage="1" showErrorMessage="1" sqref="H74 H72 H41 H49 H4:H6 H59:H64" xr:uid="{80CB682F-8030-4924-B0CD-FC285FE1C653}">
      <formula1>"Yes,No"</formula1>
    </dataValidation>
    <dataValidation type="list" allowBlank="1" showInputMessage="1" showErrorMessage="1" sqref="H38" xr:uid="{EFBCC00E-2D6F-43B4-A1F3-D5553E625809}">
      <formula1>"Email (Plain Text Format),Email (HTML Format),Fax"</formula1>
    </dataValidation>
    <dataValidation type="list" allowBlank="1" showInputMessage="1" showErrorMessage="1" sqref="H16" xr:uid="{62AE1700-EA34-4EFF-AD4C-E26F3D0801F7}">
      <formula1>"Employer Identification Number (EIN),Social Security Number (SSN)"</formula1>
    </dataValidation>
    <dataValidation type="list" allowBlank="1" showInputMessage="1" showErrorMessage="1" sqref="H19" xr:uid="{B8153EC2-BE41-49A1-9148-DAA98E07459B}">
      <formula1>"C Corporation, S Corporation, Partnership"</formula1>
    </dataValidation>
    <dataValidation type="list" allowBlank="1" showInputMessage="1" showErrorMessage="1" sqref="H18" xr:uid="{0D0A03C9-9748-4606-845D-BF1F7E908686}">
      <formula1>"Sole Proprietor or Single Member LLC, C Corporation, S Corporation, Partnership, Trust/Estate, Limited Liability Company (LLC),Government,Non-Profit"</formula1>
    </dataValidation>
    <dataValidation type="textLength" allowBlank="1" showInputMessage="1" showErrorMessage="1" promptTitle="Phone Number" prompt="Requires 11 digits with no special characters and the first digit must start with the number 1." sqref="H14 H35 H47 H55 H85 H102" xr:uid="{B8A12174-433B-4CBC-9AC9-BF1DC474C966}">
      <formula1>11</formula1>
      <formula2>11</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82" xr:uid="{CB1A2AF2-BE17-4561-A45A-6EAFF3C87E55}">
      <formula1>9</formula1>
      <formula2>9</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83" xr:uid="{543CA4D8-2FD3-44A3-9B61-9C9F416DE7EF}">
      <formula1>9</formula1>
      <formula2>9</formula2>
    </dataValidation>
    <dataValidation type="textLength" allowBlank="1" showInputMessage="1" showErrorMessage="1" promptTitle="Fax Number" prompt="Requires 11 digits with no special characters and the first digit must start with the number 1." sqref="H40" xr:uid="{A1F46A3D-659D-474E-B465-B9F3552A93C0}">
      <formula1>11</formula1>
      <formula2>11</formula2>
    </dataValidation>
    <dataValidation type="textLength" allowBlank="1" showInputMessage="1" showErrorMessage="1" promptTitle="Routing Number" prompt="This field requires 9 digits without any special characters." sqref="H95" xr:uid="{4F62F4C6-192A-45F5-9F53-EC7313011ED4}">
      <formula1>9</formula1>
      <formula2>9</formula2>
    </dataValidation>
    <dataValidation type="list" allowBlank="1" showInputMessage="1" showErrorMessage="1" sqref="H5" xr:uid="{BF6C6620-D6C8-405E-92F9-3CADD0749D5C}">
      <formula1>"New,Update"</formula1>
    </dataValidation>
    <dataValidation type="list" allowBlank="1" showInputMessage="1" showErrorMessage="1" sqref="H73" xr:uid="{72E01FA3-3D69-45C1-9133-C91C7B96EC05}">
      <formula1>"My company is already registered with SAM,My company plans to regiser with SAM,My company does not plan to regiser with SAM"</formula1>
    </dataValidation>
    <dataValidation type="list" allowBlank="1" showInputMessage="1" showErrorMessage="1" sqref="H20" xr:uid="{A541D6CA-22B5-4B0E-B96B-E8329BAFF940}">
      <formula1>"No,Yes - Small and Diverse,Yes - Small Only,Yes - Diverse Only"</formula1>
    </dataValidation>
    <dataValidation type="list" allowBlank="1" showInputMessage="1" showErrorMessage="1" sqref="H21:H28" xr:uid="{BFBF101C-3DE5-4900-8F15-3BFDE420025A}">
      <formula1>"No,Yes - Certified,Yes - Self-Identified"</formula1>
    </dataValidation>
    <dataValidation type="whole" allowBlank="1" showInputMessage="1" showErrorMessage="1" sqref="H71" xr:uid="{96728356-5726-40C7-9694-4F4038AF0F1A}">
      <formula1>0</formula1>
      <formula2>100000</formula2>
    </dataValidation>
    <dataValidation type="list" allowBlank="1" showInputMessage="1" showErrorMessage="1" sqref="H70" xr:uid="{52831D96-95A1-44FC-B673-3EAF28A33366}">
      <formula1>"I understand"</formula1>
    </dataValidation>
    <dataValidation type="textLength" allowBlank="1" showInputMessage="1" showErrorMessage="1" promptTitle="SAM UEI Number" prompt="The Unique Entity ID is a 12 character alphanumeric ID assigned to an entity by SAM.gov. If you do not know or have this number, you may look it up or request one at the following link https://www.sam.gov." sqref="H12" xr:uid="{225E474C-254C-4835-AD67-AE18886CA128}">
      <formula1>12</formula1>
      <formula2>12</formula2>
    </dataValidation>
    <dataValidation type="textLength" operator="lessThanOrEqual" allowBlank="1" showInputMessage="1" showErrorMessage="1" errorTitle="Exceeds 35 Characters" error="Address lines must be 35 characters or less." sqref="H50:H51 H42:H43 H30:H31 H88:H89" xr:uid="{AA56E80D-5013-46DD-ADF0-6F825A224921}">
      <formula1>35</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BEEABBD-F8E9-4CB4-9664-6D2EAEB939AB}">
          <x14:formula1>
            <xm:f>'Drop Down'!$D$2:$D$7</xm:f>
          </x14:formula1>
          <xm:sqref>H67</xm:sqref>
        </x14:dataValidation>
        <x14:dataValidation type="list" allowBlank="1" showInputMessage="1" showErrorMessage="1" xr:uid="{F6C81B68-4F2D-4FBB-ADBF-140FF736E03A}">
          <x14:formula1>
            <xm:f>'Drop Down'!$B$2:$B$53</xm:f>
          </x14:formula1>
          <xm:sqref>H45 H33 H53 H91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B4F5-6A23-4F9D-A6EE-AF16D7412BC3}">
  <dimension ref="B1:W249"/>
  <sheetViews>
    <sheetView showGridLines="0" workbookViewId="0"/>
  </sheetViews>
  <sheetFormatPr defaultColWidth="9.140625" defaultRowHeight="15" x14ac:dyDescent="0.25"/>
  <cols>
    <col min="1" max="1" width="9.140625" style="1"/>
    <col min="2" max="2" width="9.140625" style="4" hidden="1" customWidth="1"/>
    <col min="3" max="3" width="3.5703125" style="1" hidden="1" customWidth="1"/>
    <col min="4" max="4" width="37.28515625" style="2" hidden="1" customWidth="1"/>
    <col min="5" max="5" width="3.42578125" style="1" hidden="1" customWidth="1"/>
    <col min="6" max="6" width="42.5703125" style="1" hidden="1" customWidth="1"/>
    <col min="7" max="7" width="11.5703125" style="1" hidden="1" customWidth="1"/>
    <col min="8" max="8" width="2.7109375" style="1" hidden="1" customWidth="1"/>
    <col min="9" max="9" width="46.42578125" style="1" hidden="1" customWidth="1"/>
    <col min="10" max="10" width="11.5703125" style="1" hidden="1" customWidth="1"/>
    <col min="11" max="11" width="36" style="1" hidden="1" customWidth="1"/>
    <col min="12" max="12" width="44.28515625" style="1" hidden="1" customWidth="1"/>
    <col min="13" max="13" width="9.140625" style="1" hidden="1" customWidth="1"/>
    <col min="14" max="14" width="19.28515625" style="1" hidden="1" customWidth="1"/>
    <col min="15" max="15" width="5.5703125" style="1" hidden="1" customWidth="1"/>
    <col min="16" max="16" width="75.42578125" style="1" hidden="1" customWidth="1"/>
    <col min="17" max="17" width="4.42578125" style="1" hidden="1" customWidth="1"/>
    <col min="18" max="18" width="22.42578125" style="1" hidden="1" customWidth="1"/>
    <col min="19" max="19" width="5.7109375" style="1" hidden="1" customWidth="1"/>
    <col min="20" max="20" width="7.5703125" style="1" hidden="1" customWidth="1"/>
    <col min="21" max="21" width="31.5703125" style="1" hidden="1" customWidth="1"/>
    <col min="22" max="23" width="9.140625" style="1" hidden="1" customWidth="1"/>
    <col min="24" max="16384" width="9.140625" style="1"/>
  </cols>
  <sheetData>
    <row r="1" spans="2:21" s="19" customFormat="1" x14ac:dyDescent="0.25">
      <c r="B1" s="20" t="s">
        <v>560</v>
      </c>
      <c r="D1" s="21" t="s">
        <v>561</v>
      </c>
      <c r="F1" s="19" t="s">
        <v>562</v>
      </c>
      <c r="G1" s="19" t="s">
        <v>1040</v>
      </c>
      <c r="I1" s="19" t="s">
        <v>353</v>
      </c>
      <c r="N1" s="19" t="s">
        <v>564</v>
      </c>
      <c r="R1" s="19" t="s">
        <v>569</v>
      </c>
      <c r="S1" s="19" t="s">
        <v>570</v>
      </c>
      <c r="T1" s="19" t="s">
        <v>571</v>
      </c>
      <c r="U1" s="19" t="s">
        <v>563</v>
      </c>
    </row>
    <row r="2" spans="2:21" ht="45" x14ac:dyDescent="0.25">
      <c r="B2" s="4" t="s">
        <v>30</v>
      </c>
      <c r="D2" s="2" t="s">
        <v>1058</v>
      </c>
      <c r="F2" s="1" t="s">
        <v>115</v>
      </c>
      <c r="I2" s="1" t="s">
        <v>110</v>
      </c>
      <c r="J2" s="1" t="s">
        <v>354</v>
      </c>
      <c r="K2" s="1" t="s">
        <v>355</v>
      </c>
      <c r="L2" s="1" t="s">
        <v>563</v>
      </c>
      <c r="N2" s="1" t="s">
        <v>125</v>
      </c>
      <c r="O2" s="1" t="s">
        <v>516</v>
      </c>
      <c r="P2" s="1" t="s">
        <v>517</v>
      </c>
      <c r="R2" s="1" t="s">
        <v>572</v>
      </c>
      <c r="S2" s="1" t="s">
        <v>573</v>
      </c>
      <c r="T2" s="1" t="s">
        <v>574</v>
      </c>
      <c r="U2" s="1" t="s">
        <v>575</v>
      </c>
    </row>
    <row r="3" spans="2:21" ht="45" x14ac:dyDescent="0.25">
      <c r="B3" s="4" t="s">
        <v>31</v>
      </c>
      <c r="D3" s="2" t="s">
        <v>1059</v>
      </c>
      <c r="F3" s="1" t="s">
        <v>118</v>
      </c>
      <c r="I3" s="1" t="s">
        <v>118</v>
      </c>
      <c r="J3" s="1">
        <v>28</v>
      </c>
      <c r="K3" s="1" t="s">
        <v>412</v>
      </c>
      <c r="L3" s="2" t="s">
        <v>492</v>
      </c>
      <c r="N3" s="1" t="s">
        <v>140</v>
      </c>
      <c r="O3" s="1" t="s">
        <v>519</v>
      </c>
      <c r="P3" s="2" t="s">
        <v>565</v>
      </c>
      <c r="R3" s="1" t="s">
        <v>576</v>
      </c>
      <c r="S3" s="1" t="s">
        <v>577</v>
      </c>
      <c r="T3" s="1" t="s">
        <v>578</v>
      </c>
      <c r="U3" s="1" t="s">
        <v>579</v>
      </c>
    </row>
    <row r="4" spans="2:21" ht="45" x14ac:dyDescent="0.25">
      <c r="B4" s="4" t="s">
        <v>32</v>
      </c>
      <c r="D4" s="2" t="s">
        <v>1044</v>
      </c>
      <c r="F4" s="1" t="s">
        <v>168</v>
      </c>
      <c r="I4" s="1" t="s">
        <v>113</v>
      </c>
      <c r="J4" s="1">
        <v>24</v>
      </c>
      <c r="K4" s="1" t="s">
        <v>437</v>
      </c>
      <c r="L4" s="2" t="str">
        <f>"IBAN Length Must be "&amp;J4&amp;" Characters."&amp;CHAR(10)&amp;"An IBAN example is "&amp;K4</f>
        <v>IBAN Length Must be 24 Characters.
An IBAN example is AD1200012030200359100100</v>
      </c>
      <c r="N4" s="1" t="s">
        <v>182</v>
      </c>
      <c r="O4" s="1" t="s">
        <v>551</v>
      </c>
      <c r="P4" s="1" t="s">
        <v>520</v>
      </c>
      <c r="R4" s="1" t="s">
        <v>580</v>
      </c>
      <c r="S4" s="1" t="s">
        <v>581</v>
      </c>
      <c r="T4" s="1" t="s">
        <v>582</v>
      </c>
      <c r="U4" s="1" t="s">
        <v>583</v>
      </c>
    </row>
    <row r="5" spans="2:21" ht="30" x14ac:dyDescent="0.25">
      <c r="B5" s="4" t="s">
        <v>33</v>
      </c>
      <c r="D5" s="2" t="s">
        <v>1045</v>
      </c>
      <c r="F5" s="1" t="s">
        <v>123</v>
      </c>
      <c r="G5" s="1" t="s">
        <v>22</v>
      </c>
      <c r="I5" s="1" t="s">
        <v>124</v>
      </c>
      <c r="J5" s="1">
        <v>20</v>
      </c>
      <c r="K5" s="1" t="s">
        <v>356</v>
      </c>
      <c r="L5" s="2" t="s">
        <v>438</v>
      </c>
      <c r="N5" s="1" t="s">
        <v>146</v>
      </c>
      <c r="O5" s="1" t="s">
        <v>522</v>
      </c>
      <c r="P5" s="1" t="s">
        <v>523</v>
      </c>
      <c r="R5" s="1" t="s">
        <v>584</v>
      </c>
      <c r="S5" s="1" t="s">
        <v>585</v>
      </c>
      <c r="T5" s="1" t="s">
        <v>586</v>
      </c>
      <c r="U5" s="1" t="s">
        <v>587</v>
      </c>
    </row>
    <row r="6" spans="2:21" ht="45" x14ac:dyDescent="0.25">
      <c r="B6" s="4" t="s">
        <v>34</v>
      </c>
      <c r="F6" s="1" t="s">
        <v>113</v>
      </c>
      <c r="I6" s="1" t="s">
        <v>127</v>
      </c>
      <c r="J6" s="1">
        <v>28</v>
      </c>
      <c r="K6" s="1" t="s">
        <v>413</v>
      </c>
      <c r="L6" s="2" t="s">
        <v>493</v>
      </c>
      <c r="N6" s="1" t="s">
        <v>195</v>
      </c>
      <c r="O6" s="1" t="s">
        <v>524</v>
      </c>
      <c r="P6" s="1" t="s">
        <v>525</v>
      </c>
      <c r="R6" s="1" t="s">
        <v>588</v>
      </c>
      <c r="S6" s="1" t="s">
        <v>589</v>
      </c>
      <c r="T6" s="1" t="s">
        <v>574</v>
      </c>
      <c r="U6" s="1" t="s">
        <v>590</v>
      </c>
    </row>
    <row r="7" spans="2:21" ht="45" x14ac:dyDescent="0.25">
      <c r="B7" s="4" t="s">
        <v>35</v>
      </c>
      <c r="F7" s="1" t="s">
        <v>120</v>
      </c>
      <c r="I7" s="1" t="s">
        <v>133</v>
      </c>
      <c r="J7" s="1">
        <v>22</v>
      </c>
      <c r="K7" s="1" t="s">
        <v>357</v>
      </c>
      <c r="L7" s="2" t="s">
        <v>439</v>
      </c>
      <c r="N7" s="1" t="s">
        <v>209</v>
      </c>
      <c r="O7" s="1" t="s">
        <v>527</v>
      </c>
      <c r="P7" s="2" t="s">
        <v>568</v>
      </c>
      <c r="R7" s="1" t="s">
        <v>515</v>
      </c>
      <c r="S7" s="1" t="s">
        <v>516</v>
      </c>
      <c r="T7" s="1" t="s">
        <v>574</v>
      </c>
      <c r="U7" s="1" t="s">
        <v>591</v>
      </c>
    </row>
    <row r="8" spans="2:21" ht="45" x14ac:dyDescent="0.25">
      <c r="B8" s="4" t="s">
        <v>36</v>
      </c>
      <c r="F8" s="1" t="s">
        <v>117</v>
      </c>
      <c r="I8" s="1" t="s">
        <v>144</v>
      </c>
      <c r="J8" s="1">
        <v>28</v>
      </c>
      <c r="K8" s="1" t="s">
        <v>414</v>
      </c>
      <c r="L8" s="2" t="s">
        <v>494</v>
      </c>
      <c r="N8" s="1" t="s">
        <v>207</v>
      </c>
      <c r="O8" s="1" t="s">
        <v>529</v>
      </c>
      <c r="P8" s="2" t="s">
        <v>567</v>
      </c>
      <c r="R8" s="1" t="s">
        <v>592</v>
      </c>
      <c r="S8" s="1" t="s">
        <v>593</v>
      </c>
      <c r="T8" s="1" t="s">
        <v>594</v>
      </c>
      <c r="U8" s="1" t="s">
        <v>595</v>
      </c>
    </row>
    <row r="9" spans="2:21" ht="45" x14ac:dyDescent="0.25">
      <c r="B9" s="4" t="s">
        <v>1050</v>
      </c>
      <c r="F9" s="1" t="s">
        <v>121</v>
      </c>
      <c r="I9" s="1" t="s">
        <v>130</v>
      </c>
      <c r="J9" s="1">
        <v>16</v>
      </c>
      <c r="K9" s="1" t="s">
        <v>358</v>
      </c>
      <c r="L9" s="2" t="s">
        <v>440</v>
      </c>
      <c r="N9" s="1" t="s">
        <v>396</v>
      </c>
      <c r="P9" s="2" t="s">
        <v>566</v>
      </c>
      <c r="R9" s="1" t="s">
        <v>596</v>
      </c>
      <c r="S9" s="1" t="s">
        <v>597</v>
      </c>
      <c r="T9" s="1" t="s">
        <v>597</v>
      </c>
      <c r="U9" s="1" t="s">
        <v>598</v>
      </c>
    </row>
    <row r="10" spans="2:21" ht="30" x14ac:dyDescent="0.25">
      <c r="B10" s="4" t="s">
        <v>37</v>
      </c>
      <c r="F10" s="1" t="s">
        <v>116</v>
      </c>
      <c r="I10" s="1" t="s">
        <v>359</v>
      </c>
      <c r="J10" s="1">
        <v>20</v>
      </c>
      <c r="K10" s="1" t="s">
        <v>360</v>
      </c>
      <c r="L10" s="2" t="s">
        <v>441</v>
      </c>
      <c r="N10" s="1" t="s">
        <v>219</v>
      </c>
      <c r="O10" s="1" t="s">
        <v>530</v>
      </c>
      <c r="P10" s="2" t="s">
        <v>550</v>
      </c>
      <c r="R10" s="1" t="s">
        <v>599</v>
      </c>
      <c r="S10" s="1" t="s">
        <v>600</v>
      </c>
      <c r="T10" s="1" t="s">
        <v>601</v>
      </c>
      <c r="U10" s="1" t="s">
        <v>602</v>
      </c>
    </row>
    <row r="11" spans="2:21" ht="45" x14ac:dyDescent="0.25">
      <c r="B11" s="4" t="s">
        <v>38</v>
      </c>
      <c r="F11" s="1" t="s">
        <v>122</v>
      </c>
      <c r="I11" s="1" t="s">
        <v>140</v>
      </c>
      <c r="J11" s="1">
        <v>29</v>
      </c>
      <c r="K11" s="1" t="s">
        <v>415</v>
      </c>
      <c r="L11" s="2" t="s">
        <v>495</v>
      </c>
      <c r="N11" s="18" t="s">
        <v>549</v>
      </c>
      <c r="O11" s="1" t="s">
        <v>533</v>
      </c>
      <c r="P11" s="1" t="s">
        <v>534</v>
      </c>
      <c r="R11" s="1" t="s">
        <v>603</v>
      </c>
      <c r="S11" s="1" t="s">
        <v>604</v>
      </c>
      <c r="T11" s="1" t="s">
        <v>605</v>
      </c>
      <c r="U11" s="1" t="s">
        <v>606</v>
      </c>
    </row>
    <row r="12" spans="2:21" ht="30" x14ac:dyDescent="0.25">
      <c r="B12" s="4" t="s">
        <v>39</v>
      </c>
      <c r="F12" s="1" t="s">
        <v>119</v>
      </c>
      <c r="I12" s="1" t="s">
        <v>132</v>
      </c>
      <c r="J12" s="1">
        <v>22</v>
      </c>
      <c r="K12" s="1" t="s">
        <v>361</v>
      </c>
      <c r="L12" s="2" t="s">
        <v>442</v>
      </c>
      <c r="N12" s="1" t="s">
        <v>259</v>
      </c>
      <c r="O12" s="1" t="s">
        <v>536</v>
      </c>
      <c r="P12" s="1" t="s">
        <v>537</v>
      </c>
      <c r="R12" s="1" t="s">
        <v>607</v>
      </c>
      <c r="S12" s="1" t="s">
        <v>608</v>
      </c>
      <c r="T12" s="1" t="s">
        <v>609</v>
      </c>
      <c r="U12" s="1" t="s">
        <v>610</v>
      </c>
    </row>
    <row r="13" spans="2:21" ht="30" x14ac:dyDescent="0.25">
      <c r="B13" s="4" t="s">
        <v>40</v>
      </c>
      <c r="F13" s="1" t="s">
        <v>126</v>
      </c>
      <c r="I13" s="1" t="s">
        <v>156</v>
      </c>
      <c r="J13" s="1">
        <v>21</v>
      </c>
      <c r="K13" s="1" t="s">
        <v>416</v>
      </c>
      <c r="L13" s="2" t="s">
        <v>496</v>
      </c>
      <c r="N13" s="1" t="s">
        <v>350</v>
      </c>
      <c r="O13" s="1" t="s">
        <v>539</v>
      </c>
      <c r="P13" s="2" t="s">
        <v>548</v>
      </c>
      <c r="R13" s="1" t="s">
        <v>611</v>
      </c>
      <c r="S13" s="1" t="s">
        <v>612</v>
      </c>
      <c r="T13" s="1" t="s">
        <v>613</v>
      </c>
      <c r="U13" s="1" t="s">
        <v>614</v>
      </c>
    </row>
    <row r="14" spans="2:21" ht="30" x14ac:dyDescent="0.25">
      <c r="B14" s="4" t="s">
        <v>41</v>
      </c>
      <c r="F14" s="1" t="s">
        <v>125</v>
      </c>
      <c r="I14" s="1" t="s">
        <v>202</v>
      </c>
      <c r="J14" s="1">
        <v>21</v>
      </c>
      <c r="K14" s="1" t="s">
        <v>362</v>
      </c>
      <c r="L14" s="2" t="s">
        <v>443</v>
      </c>
      <c r="N14" s="1" t="s">
        <v>331</v>
      </c>
      <c r="O14" s="1" t="s">
        <v>541</v>
      </c>
      <c r="P14" s="1" t="s">
        <v>531</v>
      </c>
      <c r="R14" s="1" t="s">
        <v>615</v>
      </c>
      <c r="S14" s="1" t="s">
        <v>616</v>
      </c>
      <c r="T14" s="1" t="s">
        <v>617</v>
      </c>
      <c r="U14" s="1" t="s">
        <v>618</v>
      </c>
    </row>
    <row r="15" spans="2:21" ht="45" x14ac:dyDescent="0.25">
      <c r="B15" s="4" t="s">
        <v>42</v>
      </c>
      <c r="F15" s="1" t="s">
        <v>124</v>
      </c>
      <c r="I15" s="1" t="s">
        <v>161</v>
      </c>
      <c r="J15" s="1">
        <v>28</v>
      </c>
      <c r="K15" s="1" t="s">
        <v>363</v>
      </c>
      <c r="L15" s="2" t="s">
        <v>444</v>
      </c>
      <c r="N15" s="1" t="s">
        <v>321</v>
      </c>
      <c r="O15" s="1" t="s">
        <v>543</v>
      </c>
      <c r="P15" s="1" t="s">
        <v>544</v>
      </c>
      <c r="R15" s="1" t="s">
        <v>619</v>
      </c>
      <c r="S15" s="1" t="s">
        <v>620</v>
      </c>
      <c r="T15" s="1" t="s">
        <v>621</v>
      </c>
      <c r="U15" s="1" t="s">
        <v>622</v>
      </c>
    </row>
    <row r="16" spans="2:21" ht="30" x14ac:dyDescent="0.25">
      <c r="B16" s="4" t="s">
        <v>43</v>
      </c>
      <c r="F16" s="1" t="s">
        <v>127</v>
      </c>
      <c r="I16" s="1" t="s">
        <v>162</v>
      </c>
      <c r="J16" s="1">
        <v>24</v>
      </c>
      <c r="K16" s="1" t="s">
        <v>364</v>
      </c>
      <c r="L16" s="2" t="s">
        <v>445</v>
      </c>
      <c r="N16" s="1" t="s">
        <v>352</v>
      </c>
      <c r="O16" s="1" t="s">
        <v>546</v>
      </c>
      <c r="P16" s="2" t="s">
        <v>547</v>
      </c>
      <c r="R16" s="1" t="s">
        <v>623</v>
      </c>
      <c r="S16" s="1" t="s">
        <v>624</v>
      </c>
      <c r="T16" s="1" t="s">
        <v>625</v>
      </c>
      <c r="U16" s="1" t="s">
        <v>626</v>
      </c>
    </row>
    <row r="17" spans="2:21" ht="30" x14ac:dyDescent="0.25">
      <c r="B17" s="4" t="s">
        <v>44</v>
      </c>
      <c r="F17" s="1" t="s">
        <v>555</v>
      </c>
      <c r="I17" s="1" t="s">
        <v>165</v>
      </c>
      <c r="J17" s="1">
        <v>18</v>
      </c>
      <c r="K17" s="1" t="s">
        <v>365</v>
      </c>
      <c r="L17" s="2" t="s">
        <v>446</v>
      </c>
      <c r="R17" s="1" t="s">
        <v>518</v>
      </c>
      <c r="S17" s="1" t="s">
        <v>519</v>
      </c>
      <c r="T17" s="1" t="s">
        <v>627</v>
      </c>
      <c r="U17" s="1" t="s">
        <v>628</v>
      </c>
    </row>
    <row r="18" spans="2:21" ht="45" x14ac:dyDescent="0.25">
      <c r="B18" s="4" t="s">
        <v>45</v>
      </c>
      <c r="F18" s="1" t="s">
        <v>133</v>
      </c>
      <c r="I18" s="1" t="s">
        <v>167</v>
      </c>
      <c r="J18" s="1">
        <v>28</v>
      </c>
      <c r="K18" s="1" t="s">
        <v>417</v>
      </c>
      <c r="L18" s="2" t="s">
        <v>497</v>
      </c>
      <c r="R18" s="1" t="s">
        <v>629</v>
      </c>
      <c r="S18" s="1" t="s">
        <v>630</v>
      </c>
      <c r="T18" s="1" t="s">
        <v>621</v>
      </c>
      <c r="U18" s="1" t="s">
        <v>631</v>
      </c>
    </row>
    <row r="19" spans="2:21" ht="30" x14ac:dyDescent="0.25">
      <c r="B19" s="4" t="s">
        <v>46</v>
      </c>
      <c r="F19" s="1" t="s">
        <v>129</v>
      </c>
      <c r="I19" s="1" t="s">
        <v>170</v>
      </c>
      <c r="J19" s="1">
        <v>20</v>
      </c>
      <c r="K19" s="1" t="s">
        <v>366</v>
      </c>
      <c r="L19" s="2" t="s">
        <v>447</v>
      </c>
      <c r="R19" s="1" t="s">
        <v>632</v>
      </c>
      <c r="S19" s="1" t="s">
        <v>633</v>
      </c>
      <c r="T19" s="1" t="s">
        <v>634</v>
      </c>
      <c r="U19" s="1" t="s">
        <v>635</v>
      </c>
    </row>
    <row r="20" spans="2:21" ht="30" x14ac:dyDescent="0.25">
      <c r="B20" s="4" t="s">
        <v>47</v>
      </c>
      <c r="F20" s="1" t="s">
        <v>128</v>
      </c>
      <c r="I20" s="1" t="s">
        <v>179</v>
      </c>
      <c r="J20" s="1">
        <v>18</v>
      </c>
      <c r="K20" s="1" t="s">
        <v>367</v>
      </c>
      <c r="L20" s="2" t="s">
        <v>448</v>
      </c>
      <c r="R20" s="1" t="s">
        <v>636</v>
      </c>
      <c r="S20" s="1" t="s">
        <v>637</v>
      </c>
      <c r="T20" s="1" t="s">
        <v>638</v>
      </c>
      <c r="U20" s="1" t="s">
        <v>639</v>
      </c>
    </row>
    <row r="21" spans="2:21" ht="30" x14ac:dyDescent="0.25">
      <c r="B21" s="4" t="s">
        <v>48</v>
      </c>
      <c r="F21" s="1" t="s">
        <v>144</v>
      </c>
      <c r="I21" s="1" t="s">
        <v>176</v>
      </c>
      <c r="J21" s="1">
        <v>18</v>
      </c>
      <c r="K21" s="1" t="s">
        <v>368</v>
      </c>
      <c r="L21" s="2" t="s">
        <v>449</v>
      </c>
      <c r="R21" s="1" t="s">
        <v>640</v>
      </c>
      <c r="S21" s="1" t="s">
        <v>641</v>
      </c>
      <c r="T21" s="1" t="s">
        <v>642</v>
      </c>
      <c r="U21" s="1" t="s">
        <v>643</v>
      </c>
    </row>
    <row r="22" spans="2:21" ht="45" x14ac:dyDescent="0.25">
      <c r="B22" s="4" t="s">
        <v>49</v>
      </c>
      <c r="F22" s="1" t="s">
        <v>130</v>
      </c>
      <c r="I22" s="1" t="s">
        <v>180</v>
      </c>
      <c r="J22" s="1">
        <v>27</v>
      </c>
      <c r="K22" s="1" t="s">
        <v>369</v>
      </c>
      <c r="L22" s="2" t="s">
        <v>450</v>
      </c>
      <c r="R22" s="1" t="s">
        <v>644</v>
      </c>
      <c r="S22" s="1" t="s">
        <v>645</v>
      </c>
      <c r="T22" s="1" t="s">
        <v>646</v>
      </c>
      <c r="U22" s="1" t="s">
        <v>647</v>
      </c>
    </row>
    <row r="23" spans="2:21" ht="30" x14ac:dyDescent="0.25">
      <c r="B23" s="4" t="s">
        <v>50</v>
      </c>
      <c r="F23" s="1" t="s">
        <v>145</v>
      </c>
      <c r="I23" s="1" t="s">
        <v>184</v>
      </c>
      <c r="J23" s="1">
        <v>22</v>
      </c>
      <c r="K23" s="1" t="s">
        <v>370</v>
      </c>
      <c r="L23" s="2" t="s">
        <v>451</v>
      </c>
      <c r="R23" s="1" t="s">
        <v>521</v>
      </c>
      <c r="S23" s="1" t="s">
        <v>648</v>
      </c>
      <c r="T23" s="1" t="s">
        <v>649</v>
      </c>
      <c r="U23" s="1" t="s">
        <v>650</v>
      </c>
    </row>
    <row r="24" spans="2:21" ht="30" x14ac:dyDescent="0.25">
      <c r="B24" s="4" t="s">
        <v>51</v>
      </c>
      <c r="F24" s="1" t="s">
        <v>135</v>
      </c>
      <c r="I24" s="1" t="s">
        <v>163</v>
      </c>
      <c r="J24" s="1">
        <v>22</v>
      </c>
      <c r="K24" s="1" t="s">
        <v>371</v>
      </c>
      <c r="L24" s="2" t="s">
        <v>452</v>
      </c>
      <c r="R24" s="1" t="s">
        <v>651</v>
      </c>
      <c r="S24" s="1" t="s">
        <v>652</v>
      </c>
      <c r="T24" s="1" t="s">
        <v>652</v>
      </c>
      <c r="U24" s="1" t="s">
        <v>653</v>
      </c>
    </row>
    <row r="25" spans="2:21" ht="30" x14ac:dyDescent="0.25">
      <c r="B25" s="4" t="s">
        <v>52</v>
      </c>
      <c r="F25" s="1" t="s">
        <v>137</v>
      </c>
      <c r="I25" s="1" t="s">
        <v>188</v>
      </c>
      <c r="J25" s="1">
        <v>23</v>
      </c>
      <c r="K25" s="1" t="s">
        <v>372</v>
      </c>
      <c r="L25" s="2" t="s">
        <v>453</v>
      </c>
      <c r="R25" s="1" t="s">
        <v>654</v>
      </c>
      <c r="S25" s="1" t="s">
        <v>655</v>
      </c>
      <c r="T25" s="1" t="s">
        <v>574</v>
      </c>
      <c r="U25" s="1" t="s">
        <v>656</v>
      </c>
    </row>
    <row r="26" spans="2:21" ht="45" x14ac:dyDescent="0.25">
      <c r="B26" s="4" t="s">
        <v>53</v>
      </c>
      <c r="F26" s="1" t="s">
        <v>141</v>
      </c>
      <c r="I26" s="1" t="s">
        <v>193</v>
      </c>
      <c r="J26" s="1">
        <v>27</v>
      </c>
      <c r="K26" s="1" t="s">
        <v>374</v>
      </c>
      <c r="L26" s="2" t="s">
        <v>455</v>
      </c>
      <c r="R26" s="1" t="s">
        <v>657</v>
      </c>
      <c r="S26" s="1" t="s">
        <v>658</v>
      </c>
      <c r="T26" s="1" t="s">
        <v>659</v>
      </c>
      <c r="U26" s="1" t="s">
        <v>660</v>
      </c>
    </row>
    <row r="27" spans="2:21" ht="30" x14ac:dyDescent="0.25">
      <c r="B27" s="4" t="s">
        <v>54</v>
      </c>
      <c r="F27" s="1" t="s">
        <v>139</v>
      </c>
      <c r="I27" s="1" t="s">
        <v>189</v>
      </c>
      <c r="J27" s="1">
        <v>18</v>
      </c>
      <c r="K27" s="1" t="s">
        <v>375</v>
      </c>
      <c r="L27" s="2" t="s">
        <v>456</v>
      </c>
      <c r="R27" s="1" t="s">
        <v>661</v>
      </c>
      <c r="S27" s="1" t="s">
        <v>662</v>
      </c>
      <c r="T27" s="1" t="s">
        <v>574</v>
      </c>
      <c r="U27" s="1" t="s">
        <v>663</v>
      </c>
    </row>
    <row r="28" spans="2:21" ht="45" x14ac:dyDescent="0.25">
      <c r="B28" s="4" t="s">
        <v>55</v>
      </c>
      <c r="F28" s="1" t="s">
        <v>359</v>
      </c>
      <c r="I28" s="1" t="s">
        <v>195</v>
      </c>
      <c r="J28" s="1">
        <v>28</v>
      </c>
      <c r="K28" s="1" t="s">
        <v>418</v>
      </c>
      <c r="L28" s="2" t="s">
        <v>498</v>
      </c>
      <c r="R28" s="1" t="s">
        <v>664</v>
      </c>
      <c r="S28" s="1" t="s">
        <v>665</v>
      </c>
      <c r="T28" s="1" t="s">
        <v>666</v>
      </c>
      <c r="U28" s="1" t="s">
        <v>667</v>
      </c>
    </row>
    <row r="29" spans="2:21" ht="30" x14ac:dyDescent="0.25">
      <c r="B29" s="4" t="s">
        <v>56</v>
      </c>
      <c r="F29" s="1" t="s">
        <v>143</v>
      </c>
      <c r="I29" s="1" t="s">
        <v>186</v>
      </c>
      <c r="J29" s="1">
        <v>22</v>
      </c>
      <c r="K29" s="1" t="s">
        <v>376</v>
      </c>
      <c r="L29" s="2" t="s">
        <v>457</v>
      </c>
      <c r="R29" s="1" t="s">
        <v>668</v>
      </c>
      <c r="S29" s="1" t="s">
        <v>669</v>
      </c>
      <c r="T29" s="1" t="s">
        <v>670</v>
      </c>
      <c r="U29" s="1" t="s">
        <v>671</v>
      </c>
    </row>
    <row r="30" spans="2:21" ht="30" x14ac:dyDescent="0.25">
      <c r="B30" s="4" t="s">
        <v>57</v>
      </c>
      <c r="F30" s="1" t="s">
        <v>142</v>
      </c>
      <c r="I30" s="1" t="s">
        <v>338</v>
      </c>
      <c r="J30" s="1">
        <v>22</v>
      </c>
      <c r="K30" s="1" t="s">
        <v>432</v>
      </c>
      <c r="L30" s="2" t="s">
        <v>512</v>
      </c>
      <c r="R30" s="1" t="s">
        <v>672</v>
      </c>
      <c r="S30" s="1" t="s">
        <v>673</v>
      </c>
      <c r="T30" s="1" t="s">
        <v>674</v>
      </c>
      <c r="U30" s="1" t="s">
        <v>675</v>
      </c>
    </row>
    <row r="31" spans="2:21" ht="45" x14ac:dyDescent="0.25">
      <c r="B31" s="4" t="s">
        <v>58</v>
      </c>
      <c r="F31" s="1" t="s">
        <v>140</v>
      </c>
      <c r="I31" s="1" t="s">
        <v>204</v>
      </c>
      <c r="J31" s="1">
        <v>28</v>
      </c>
      <c r="K31" s="1" t="s">
        <v>377</v>
      </c>
      <c r="L31" s="2" t="s">
        <v>458</v>
      </c>
      <c r="R31" s="1" t="s">
        <v>676</v>
      </c>
      <c r="S31" s="1" t="s">
        <v>677</v>
      </c>
      <c r="T31" s="1" t="s">
        <v>678</v>
      </c>
      <c r="U31" s="1" t="s">
        <v>679</v>
      </c>
    </row>
    <row r="32" spans="2:21" ht="45" x14ac:dyDescent="0.25">
      <c r="B32" s="4" t="s">
        <v>59</v>
      </c>
      <c r="F32" s="1" t="s">
        <v>210</v>
      </c>
      <c r="I32" s="1" t="s">
        <v>213</v>
      </c>
      <c r="J32" s="1">
        <v>26</v>
      </c>
      <c r="K32" s="1" t="s">
        <v>378</v>
      </c>
      <c r="L32" s="2" t="s">
        <v>459</v>
      </c>
      <c r="R32" s="1" t="s">
        <v>680</v>
      </c>
      <c r="S32" s="1" t="s">
        <v>681</v>
      </c>
      <c r="T32" s="1" t="s">
        <v>682</v>
      </c>
      <c r="U32" s="1" t="s">
        <v>683</v>
      </c>
    </row>
    <row r="33" spans="2:21" ht="45" x14ac:dyDescent="0.25">
      <c r="B33" s="4" t="s">
        <v>60</v>
      </c>
      <c r="F33" s="1" t="s">
        <v>341</v>
      </c>
      <c r="I33" s="1" t="s">
        <v>212</v>
      </c>
      <c r="J33" s="1">
        <v>26</v>
      </c>
      <c r="K33" s="1" t="s">
        <v>420</v>
      </c>
      <c r="L33" s="2" t="s">
        <v>500</v>
      </c>
      <c r="R33" s="1" t="s">
        <v>684</v>
      </c>
      <c r="S33" s="1" t="s">
        <v>685</v>
      </c>
      <c r="T33" s="1" t="s">
        <v>686</v>
      </c>
      <c r="U33" s="1" t="s">
        <v>687</v>
      </c>
    </row>
    <row r="34" spans="2:21" ht="30" x14ac:dyDescent="0.25">
      <c r="B34" s="4" t="s">
        <v>61</v>
      </c>
      <c r="F34" s="1" t="s">
        <v>138</v>
      </c>
      <c r="I34" s="1" t="s">
        <v>211</v>
      </c>
      <c r="J34" s="1">
        <v>23</v>
      </c>
      <c r="K34" s="1" t="s">
        <v>419</v>
      </c>
      <c r="L34" s="2" t="s">
        <v>499</v>
      </c>
      <c r="R34" s="1" t="s">
        <v>688</v>
      </c>
      <c r="S34" s="1" t="s">
        <v>689</v>
      </c>
      <c r="T34" s="1" t="s">
        <v>690</v>
      </c>
      <c r="U34" s="1" t="s">
        <v>691</v>
      </c>
    </row>
    <row r="35" spans="2:21" ht="30" x14ac:dyDescent="0.25">
      <c r="B35" s="4" t="s">
        <v>62</v>
      </c>
      <c r="F35" s="1" t="s">
        <v>132</v>
      </c>
      <c r="I35" s="1" t="s">
        <v>206</v>
      </c>
      <c r="J35" s="1">
        <v>22</v>
      </c>
      <c r="K35" s="1" t="s">
        <v>379</v>
      </c>
      <c r="L35" s="2" t="s">
        <v>460</v>
      </c>
      <c r="R35" s="1" t="s">
        <v>692</v>
      </c>
      <c r="S35" s="1" t="s">
        <v>693</v>
      </c>
      <c r="T35" s="1" t="s">
        <v>694</v>
      </c>
      <c r="U35" s="1" t="s">
        <v>695</v>
      </c>
    </row>
    <row r="36" spans="2:21" ht="45" x14ac:dyDescent="0.25">
      <c r="B36" s="4" t="s">
        <v>63</v>
      </c>
      <c r="F36" s="1" t="s">
        <v>131</v>
      </c>
      <c r="I36" s="1" t="s">
        <v>208</v>
      </c>
      <c r="J36" s="1">
        <v>22</v>
      </c>
      <c r="K36" s="1" t="s">
        <v>376</v>
      </c>
      <c r="L36" s="2" t="s">
        <v>554</v>
      </c>
      <c r="R36" s="1" t="s">
        <v>696</v>
      </c>
      <c r="S36" s="1" t="s">
        <v>697</v>
      </c>
      <c r="T36" s="1" t="s">
        <v>697</v>
      </c>
      <c r="U36" s="1" t="s">
        <v>698</v>
      </c>
    </row>
    <row r="37" spans="2:21" ht="30" x14ac:dyDescent="0.25">
      <c r="B37" s="4" t="s">
        <v>64</v>
      </c>
      <c r="F37" s="1" t="s">
        <v>248</v>
      </c>
      <c r="I37" s="1" t="s">
        <v>207</v>
      </c>
      <c r="J37" s="1">
        <v>23</v>
      </c>
      <c r="K37" s="1" t="s">
        <v>421</v>
      </c>
      <c r="L37" s="2" t="s">
        <v>501</v>
      </c>
      <c r="R37" s="1" t="s">
        <v>699</v>
      </c>
      <c r="S37" s="1" t="s">
        <v>700</v>
      </c>
      <c r="T37" s="1" t="s">
        <v>701</v>
      </c>
      <c r="U37" s="1" t="s">
        <v>702</v>
      </c>
    </row>
    <row r="38" spans="2:21" ht="45" x14ac:dyDescent="0.25">
      <c r="B38" s="4" t="s">
        <v>65</v>
      </c>
      <c r="F38" s="1" t="s">
        <v>134</v>
      </c>
      <c r="I38" s="1" t="s">
        <v>214</v>
      </c>
      <c r="J38" s="1">
        <v>27</v>
      </c>
      <c r="K38" s="1" t="s">
        <v>380</v>
      </c>
      <c r="L38" s="2" t="s">
        <v>461</v>
      </c>
      <c r="R38" s="1" t="s">
        <v>703</v>
      </c>
      <c r="S38" s="1" t="s">
        <v>704</v>
      </c>
      <c r="T38" s="1" t="s">
        <v>642</v>
      </c>
      <c r="U38" s="1" t="s">
        <v>705</v>
      </c>
    </row>
    <row r="39" spans="2:21" ht="45" x14ac:dyDescent="0.25">
      <c r="B39" s="4" t="s">
        <v>66</v>
      </c>
      <c r="F39" s="1" t="s">
        <v>221</v>
      </c>
      <c r="I39" s="1" t="s">
        <v>215</v>
      </c>
      <c r="J39" s="1">
        <v>22</v>
      </c>
      <c r="K39" s="1" t="s">
        <v>376</v>
      </c>
      <c r="L39" s="2" t="s">
        <v>553</v>
      </c>
      <c r="R39" s="1" t="s">
        <v>706</v>
      </c>
      <c r="S39" s="1" t="s">
        <v>707</v>
      </c>
      <c r="T39" s="1" t="s">
        <v>708</v>
      </c>
      <c r="U39" s="1" t="s">
        <v>709</v>
      </c>
    </row>
    <row r="40" spans="2:21" ht="45" x14ac:dyDescent="0.25">
      <c r="B40" s="4" t="s">
        <v>67</v>
      </c>
      <c r="F40" s="1" t="s">
        <v>153</v>
      </c>
      <c r="I40" s="1" t="s">
        <v>217</v>
      </c>
      <c r="J40" s="1">
        <v>30</v>
      </c>
      <c r="K40" s="1" t="s">
        <v>381</v>
      </c>
      <c r="L40" s="2" t="s">
        <v>462</v>
      </c>
      <c r="R40" s="1" t="s">
        <v>710</v>
      </c>
      <c r="S40" s="1" t="s">
        <v>711</v>
      </c>
      <c r="T40" s="1" t="s">
        <v>712</v>
      </c>
      <c r="U40" s="1" t="s">
        <v>713</v>
      </c>
    </row>
    <row r="41" spans="2:21" ht="30" x14ac:dyDescent="0.25">
      <c r="B41" s="4" t="s">
        <v>1051</v>
      </c>
      <c r="F41" s="1" t="s">
        <v>146</v>
      </c>
      <c r="I41" s="1" t="s">
        <v>227</v>
      </c>
      <c r="J41" s="1">
        <v>20</v>
      </c>
      <c r="K41" s="1" t="s">
        <v>382</v>
      </c>
      <c r="L41" s="2" t="s">
        <v>463</v>
      </c>
      <c r="R41" s="1" t="s">
        <v>714</v>
      </c>
      <c r="S41" s="1" t="s">
        <v>715</v>
      </c>
      <c r="T41" s="1" t="s">
        <v>716</v>
      </c>
      <c r="U41" s="1" t="s">
        <v>717</v>
      </c>
    </row>
    <row r="42" spans="2:21" ht="30" x14ac:dyDescent="0.25">
      <c r="B42" s="4" t="s">
        <v>68</v>
      </c>
      <c r="F42" s="1" t="s">
        <v>158</v>
      </c>
      <c r="I42" s="1" t="s">
        <v>227</v>
      </c>
      <c r="J42" s="1">
        <v>20</v>
      </c>
      <c r="K42" s="1" t="s">
        <v>422</v>
      </c>
      <c r="L42" s="2" t="s">
        <v>502</v>
      </c>
      <c r="R42" s="1" t="s">
        <v>718</v>
      </c>
      <c r="S42" s="1" t="s">
        <v>551</v>
      </c>
      <c r="T42" s="1" t="s">
        <v>716</v>
      </c>
      <c r="U42" s="1" t="s">
        <v>719</v>
      </c>
    </row>
    <row r="43" spans="2:21" ht="30" x14ac:dyDescent="0.25">
      <c r="B43" s="4" t="s">
        <v>69</v>
      </c>
      <c r="F43" s="1" t="s">
        <v>226</v>
      </c>
      <c r="I43" s="1" t="s">
        <v>347</v>
      </c>
      <c r="J43" s="1">
        <v>20</v>
      </c>
      <c r="K43" s="1" t="s">
        <v>423</v>
      </c>
      <c r="L43" s="2" t="s">
        <v>503</v>
      </c>
      <c r="R43" s="1" t="s">
        <v>720</v>
      </c>
      <c r="S43" s="1" t="s">
        <v>721</v>
      </c>
      <c r="T43" s="1" t="s">
        <v>721</v>
      </c>
      <c r="U43" s="1" t="s">
        <v>722</v>
      </c>
    </row>
    <row r="44" spans="2:21" ht="45" x14ac:dyDescent="0.25">
      <c r="B44" s="4" t="s">
        <v>70</v>
      </c>
      <c r="F44" s="1" t="s">
        <v>148</v>
      </c>
      <c r="I44" s="1" t="s">
        <v>225</v>
      </c>
      <c r="J44" s="1">
        <v>30</v>
      </c>
      <c r="K44" s="1" t="s">
        <v>383</v>
      </c>
      <c r="L44" s="2" t="s">
        <v>464</v>
      </c>
      <c r="R44" s="1" t="s">
        <v>723</v>
      </c>
      <c r="S44" s="1" t="s">
        <v>724</v>
      </c>
      <c r="T44" s="1" t="s">
        <v>725</v>
      </c>
      <c r="U44" s="1" t="s">
        <v>726</v>
      </c>
    </row>
    <row r="45" spans="2:21" ht="45" x14ac:dyDescent="0.25">
      <c r="B45" s="4" t="s">
        <v>71</v>
      </c>
      <c r="F45" s="1" t="s">
        <v>318</v>
      </c>
      <c r="I45" s="1" t="s">
        <v>225</v>
      </c>
      <c r="J45" s="1">
        <v>30</v>
      </c>
      <c r="K45" s="1" t="s">
        <v>383</v>
      </c>
      <c r="L45" s="2" t="s">
        <v>464</v>
      </c>
      <c r="R45" s="1" t="s">
        <v>727</v>
      </c>
      <c r="S45" s="1" t="s">
        <v>728</v>
      </c>
      <c r="T45" s="1" t="s">
        <v>729</v>
      </c>
      <c r="U45" s="1" t="s">
        <v>730</v>
      </c>
    </row>
    <row r="46" spans="2:21" ht="30" x14ac:dyDescent="0.25">
      <c r="B46" s="4" t="s">
        <v>72</v>
      </c>
      <c r="F46" s="1" t="s">
        <v>152</v>
      </c>
      <c r="I46" s="1" t="s">
        <v>237</v>
      </c>
      <c r="J46" s="1">
        <v>21</v>
      </c>
      <c r="K46" s="1" t="s">
        <v>384</v>
      </c>
      <c r="L46" s="2" t="s">
        <v>465</v>
      </c>
      <c r="R46" s="1" t="s">
        <v>731</v>
      </c>
      <c r="S46" s="1" t="s">
        <v>524</v>
      </c>
      <c r="T46" s="1" t="s">
        <v>732</v>
      </c>
      <c r="U46" s="1" t="s">
        <v>733</v>
      </c>
    </row>
    <row r="47" spans="2:21" ht="45" x14ac:dyDescent="0.25">
      <c r="B47" s="4" t="s">
        <v>73</v>
      </c>
      <c r="F47" s="1" t="s">
        <v>154</v>
      </c>
      <c r="I47" s="1" t="s">
        <v>229</v>
      </c>
      <c r="J47" s="1">
        <v>28</v>
      </c>
      <c r="K47" s="1" t="s">
        <v>385</v>
      </c>
      <c r="L47" s="2" t="s">
        <v>466</v>
      </c>
      <c r="R47" s="1" t="s">
        <v>734</v>
      </c>
      <c r="S47" s="1" t="s">
        <v>735</v>
      </c>
      <c r="T47" s="1" t="s">
        <v>736</v>
      </c>
      <c r="U47" s="1" t="s">
        <v>737</v>
      </c>
    </row>
    <row r="48" spans="2:21" ht="30" x14ac:dyDescent="0.25">
      <c r="B48" s="4" t="s">
        <v>74</v>
      </c>
      <c r="F48" s="1" t="s">
        <v>160</v>
      </c>
      <c r="I48" s="1" t="s">
        <v>231</v>
      </c>
      <c r="J48" s="1">
        <v>21</v>
      </c>
      <c r="K48" s="1" t="s">
        <v>386</v>
      </c>
      <c r="L48" s="2" t="s">
        <v>467</v>
      </c>
      <c r="R48" s="1" t="s">
        <v>738</v>
      </c>
      <c r="S48" s="1" t="s">
        <v>739</v>
      </c>
      <c r="T48" s="1" t="s">
        <v>740</v>
      </c>
      <c r="U48" s="1" t="s">
        <v>741</v>
      </c>
    </row>
    <row r="49" spans="2:21" ht="30" x14ac:dyDescent="0.25">
      <c r="B49" s="4" t="s">
        <v>75</v>
      </c>
      <c r="F49" s="1" t="s">
        <v>147</v>
      </c>
      <c r="I49" s="1" t="s">
        <v>235</v>
      </c>
      <c r="J49" s="1">
        <v>20</v>
      </c>
      <c r="K49" s="1" t="s">
        <v>387</v>
      </c>
      <c r="L49" s="2" t="s">
        <v>468</v>
      </c>
      <c r="R49" s="1" t="s">
        <v>742</v>
      </c>
      <c r="S49" s="1" t="s">
        <v>743</v>
      </c>
      <c r="T49" s="1" t="s">
        <v>582</v>
      </c>
      <c r="U49" s="1" t="s">
        <v>744</v>
      </c>
    </row>
    <row r="50" spans="2:21" ht="30" x14ac:dyDescent="0.25">
      <c r="B50" s="4" t="s">
        <v>76</v>
      </c>
      <c r="F50" s="1" t="s">
        <v>155</v>
      </c>
      <c r="I50" s="1" t="s">
        <v>236</v>
      </c>
      <c r="J50" s="1">
        <v>20</v>
      </c>
      <c r="K50" s="1" t="s">
        <v>388</v>
      </c>
      <c r="L50" s="2" t="s">
        <v>469</v>
      </c>
      <c r="R50" s="1" t="s">
        <v>745</v>
      </c>
      <c r="S50" s="1" t="s">
        <v>746</v>
      </c>
      <c r="T50" s="1" t="s">
        <v>747</v>
      </c>
      <c r="U50" s="1" t="s">
        <v>748</v>
      </c>
    </row>
    <row r="51" spans="2:21" ht="30" x14ac:dyDescent="0.25">
      <c r="B51" s="4" t="s">
        <v>77</v>
      </c>
      <c r="F51" s="1" t="s">
        <v>223</v>
      </c>
      <c r="I51" s="1" t="s">
        <v>246</v>
      </c>
      <c r="J51" s="1">
        <v>19</v>
      </c>
      <c r="K51" s="1" t="s">
        <v>389</v>
      </c>
      <c r="L51" s="2" t="s">
        <v>470</v>
      </c>
      <c r="R51" s="1" t="s">
        <v>749</v>
      </c>
      <c r="S51" s="1" t="s">
        <v>750</v>
      </c>
      <c r="U51" s="1" t="s">
        <v>751</v>
      </c>
    </row>
    <row r="52" spans="2:21" ht="45" x14ac:dyDescent="0.25">
      <c r="B52" s="4" t="s">
        <v>78</v>
      </c>
      <c r="F52" s="1" t="s">
        <v>556</v>
      </c>
      <c r="I52" s="1" t="s">
        <v>255</v>
      </c>
      <c r="J52" s="1">
        <v>31</v>
      </c>
      <c r="K52" s="1" t="s">
        <v>390</v>
      </c>
      <c r="L52" s="2" t="s">
        <v>471</v>
      </c>
      <c r="R52" s="1" t="s">
        <v>752</v>
      </c>
      <c r="S52" s="1" t="s">
        <v>753</v>
      </c>
      <c r="T52" s="1" t="s">
        <v>754</v>
      </c>
      <c r="U52" s="1" t="s">
        <v>755</v>
      </c>
    </row>
    <row r="53" spans="2:21" ht="45" x14ac:dyDescent="0.25">
      <c r="B53" s="4" t="s">
        <v>79</v>
      </c>
      <c r="F53" s="1" t="s">
        <v>151</v>
      </c>
      <c r="I53" s="1" t="s">
        <v>253</v>
      </c>
      <c r="J53" s="1">
        <v>27</v>
      </c>
      <c r="K53" s="1" t="s">
        <v>424</v>
      </c>
      <c r="L53" s="2" t="s">
        <v>504</v>
      </c>
      <c r="R53" s="1" t="s">
        <v>756</v>
      </c>
      <c r="S53" s="1" t="s">
        <v>757</v>
      </c>
      <c r="T53" s="1" t="s">
        <v>758</v>
      </c>
      <c r="U53" s="1" t="s">
        <v>759</v>
      </c>
    </row>
    <row r="54" spans="2:21" ht="45" x14ac:dyDescent="0.25">
      <c r="F54" s="1" t="s">
        <v>156</v>
      </c>
      <c r="I54" s="1" t="s">
        <v>256</v>
      </c>
      <c r="J54" s="1">
        <v>30</v>
      </c>
      <c r="K54" s="1" t="s">
        <v>425</v>
      </c>
      <c r="L54" s="2" t="s">
        <v>505</v>
      </c>
      <c r="R54" s="1" t="s">
        <v>528</v>
      </c>
      <c r="S54" s="1" t="s">
        <v>529</v>
      </c>
      <c r="T54" s="1" t="s">
        <v>760</v>
      </c>
      <c r="U54" s="1" t="s">
        <v>761</v>
      </c>
    </row>
    <row r="55" spans="2:21" ht="45" x14ac:dyDescent="0.25">
      <c r="F55" s="1" t="s">
        <v>150</v>
      </c>
      <c r="I55" s="1" t="s">
        <v>241</v>
      </c>
      <c r="J55" s="1">
        <v>24</v>
      </c>
      <c r="K55" s="1" t="s">
        <v>391</v>
      </c>
      <c r="L55" s="2" t="s">
        <v>472</v>
      </c>
      <c r="R55" s="1" t="s">
        <v>526</v>
      </c>
      <c r="S55" s="1" t="s">
        <v>527</v>
      </c>
      <c r="T55" s="1" t="s">
        <v>762</v>
      </c>
      <c r="U55" s="1" t="s">
        <v>763</v>
      </c>
    </row>
    <row r="56" spans="2:21" ht="45" x14ac:dyDescent="0.25">
      <c r="F56" s="1" t="s">
        <v>202</v>
      </c>
      <c r="I56" s="1" t="s">
        <v>240</v>
      </c>
      <c r="J56" s="1">
        <v>27</v>
      </c>
      <c r="K56" s="1" t="s">
        <v>392</v>
      </c>
      <c r="L56" s="2" t="s">
        <v>473</v>
      </c>
      <c r="R56" s="1" t="s">
        <v>764</v>
      </c>
      <c r="S56" s="1" t="s">
        <v>765</v>
      </c>
      <c r="T56" s="1" t="s">
        <v>766</v>
      </c>
      <c r="U56" s="1" t="s">
        <v>767</v>
      </c>
    </row>
    <row r="57" spans="2:21" ht="30" x14ac:dyDescent="0.25">
      <c r="F57" s="1" t="s">
        <v>157</v>
      </c>
      <c r="I57" s="1" t="s">
        <v>242</v>
      </c>
      <c r="J57" s="1">
        <v>22</v>
      </c>
      <c r="K57" s="1" t="s">
        <v>393</v>
      </c>
      <c r="L57" s="2" t="s">
        <v>474</v>
      </c>
      <c r="R57" s="1" t="s">
        <v>768</v>
      </c>
      <c r="S57" s="1" t="s">
        <v>769</v>
      </c>
      <c r="U57" s="1" t="s">
        <v>770</v>
      </c>
    </row>
    <row r="58" spans="2:21" ht="30" x14ac:dyDescent="0.25">
      <c r="F58" s="1" t="s">
        <v>159</v>
      </c>
      <c r="I58" s="1" t="s">
        <v>268</v>
      </c>
      <c r="J58" s="1">
        <v>18</v>
      </c>
      <c r="K58" s="1" t="s">
        <v>394</v>
      </c>
      <c r="L58" s="2" t="s">
        <v>475</v>
      </c>
      <c r="R58" s="1" t="s">
        <v>771</v>
      </c>
      <c r="S58" s="1" t="s">
        <v>772</v>
      </c>
      <c r="T58" s="1" t="s">
        <v>686</v>
      </c>
      <c r="U58" s="1" t="s">
        <v>773</v>
      </c>
    </row>
    <row r="59" spans="2:21" ht="30" x14ac:dyDescent="0.25">
      <c r="F59" s="1" t="s">
        <v>161</v>
      </c>
      <c r="I59" s="1" t="s">
        <v>269</v>
      </c>
      <c r="J59" s="1">
        <v>15</v>
      </c>
      <c r="K59" s="1" t="s">
        <v>395</v>
      </c>
      <c r="L59" s="2" t="s">
        <v>476</v>
      </c>
      <c r="R59" s="1" t="s">
        <v>774</v>
      </c>
      <c r="S59" s="1" t="s">
        <v>775</v>
      </c>
      <c r="T59" s="1" t="s">
        <v>775</v>
      </c>
      <c r="U59" s="1" t="s">
        <v>776</v>
      </c>
    </row>
    <row r="60" spans="2:21" ht="30" x14ac:dyDescent="0.25">
      <c r="F60" s="1" t="s">
        <v>162</v>
      </c>
      <c r="I60" s="1" t="s">
        <v>280</v>
      </c>
      <c r="J60" s="1">
        <v>24</v>
      </c>
      <c r="K60" s="1" t="s">
        <v>426</v>
      </c>
      <c r="L60" s="2" t="s">
        <v>506</v>
      </c>
      <c r="R60" s="1" t="s">
        <v>777</v>
      </c>
      <c r="S60" s="1" t="s">
        <v>778</v>
      </c>
      <c r="T60" s="1" t="s">
        <v>659</v>
      </c>
      <c r="U60" s="1" t="s">
        <v>779</v>
      </c>
    </row>
    <row r="61" spans="2:21" ht="45" x14ac:dyDescent="0.25">
      <c r="F61" s="1" t="s">
        <v>165</v>
      </c>
      <c r="I61" s="1" t="s">
        <v>396</v>
      </c>
      <c r="J61" s="1">
        <v>29</v>
      </c>
      <c r="K61" s="1" t="s">
        <v>397</v>
      </c>
      <c r="L61" s="2" t="s">
        <v>477</v>
      </c>
      <c r="R61" s="1" t="s">
        <v>780</v>
      </c>
      <c r="S61" s="1" t="s">
        <v>530</v>
      </c>
      <c r="T61" s="1" t="s">
        <v>781</v>
      </c>
      <c r="U61" s="1" t="s">
        <v>782</v>
      </c>
    </row>
    <row r="62" spans="2:21" ht="45" x14ac:dyDescent="0.25">
      <c r="F62" s="1" t="s">
        <v>164</v>
      </c>
      <c r="I62" s="1" t="s">
        <v>281</v>
      </c>
      <c r="J62" s="1">
        <v>28</v>
      </c>
      <c r="K62" s="1" t="s">
        <v>398</v>
      </c>
      <c r="L62" s="2" t="s">
        <v>478</v>
      </c>
      <c r="R62" s="1" t="s">
        <v>783</v>
      </c>
      <c r="S62" s="1" t="s">
        <v>784</v>
      </c>
      <c r="T62" s="1" t="s">
        <v>784</v>
      </c>
      <c r="U62" s="1" t="s">
        <v>785</v>
      </c>
    </row>
    <row r="63" spans="2:21" ht="45" x14ac:dyDescent="0.25">
      <c r="F63" s="1" t="s">
        <v>166</v>
      </c>
      <c r="I63" s="1" t="s">
        <v>287</v>
      </c>
      <c r="J63" s="1">
        <v>25</v>
      </c>
      <c r="K63" s="1" t="s">
        <v>399</v>
      </c>
      <c r="L63" s="2" t="s">
        <v>479</v>
      </c>
      <c r="R63" s="1" t="s">
        <v>786</v>
      </c>
      <c r="S63" s="1" t="s">
        <v>787</v>
      </c>
      <c r="T63" s="1" t="s">
        <v>787</v>
      </c>
      <c r="U63" s="1" t="s">
        <v>788</v>
      </c>
    </row>
    <row r="64" spans="2:21" ht="45" x14ac:dyDescent="0.25">
      <c r="F64" s="1" t="s">
        <v>167</v>
      </c>
      <c r="I64" s="1" t="s">
        <v>290</v>
      </c>
      <c r="J64" s="1">
        <v>29</v>
      </c>
      <c r="K64" s="1" t="s">
        <v>400</v>
      </c>
      <c r="L64" s="2" t="s">
        <v>480</v>
      </c>
      <c r="R64" s="1" t="s">
        <v>789</v>
      </c>
      <c r="S64" s="1" t="s">
        <v>790</v>
      </c>
      <c r="T64" s="1" t="s">
        <v>790</v>
      </c>
      <c r="U64" s="1" t="s">
        <v>791</v>
      </c>
    </row>
    <row r="65" spans="6:21" ht="45" x14ac:dyDescent="0.25">
      <c r="F65" s="1" t="s">
        <v>169</v>
      </c>
      <c r="I65" s="1" t="s">
        <v>292</v>
      </c>
      <c r="J65" s="1">
        <v>24</v>
      </c>
      <c r="K65" s="1" t="s">
        <v>401</v>
      </c>
      <c r="L65" s="2" t="s">
        <v>481</v>
      </c>
      <c r="R65" s="1" t="s">
        <v>792</v>
      </c>
      <c r="S65" s="1" t="s">
        <v>793</v>
      </c>
      <c r="T65" s="1" t="s">
        <v>794</v>
      </c>
      <c r="U65" s="1" t="s">
        <v>795</v>
      </c>
    </row>
    <row r="66" spans="6:21" ht="45" x14ac:dyDescent="0.25">
      <c r="F66" s="1" t="s">
        <v>171</v>
      </c>
      <c r="I66" s="1" t="s">
        <v>230</v>
      </c>
      <c r="J66" s="1">
        <v>32</v>
      </c>
      <c r="K66" s="1" t="s">
        <v>430</v>
      </c>
      <c r="L66" s="2" t="s">
        <v>510</v>
      </c>
      <c r="R66" s="1" t="s">
        <v>532</v>
      </c>
      <c r="S66" s="1" t="s">
        <v>533</v>
      </c>
      <c r="T66" s="1" t="s">
        <v>794</v>
      </c>
      <c r="U66" s="1" t="s">
        <v>796</v>
      </c>
    </row>
    <row r="67" spans="6:21" ht="45" x14ac:dyDescent="0.25">
      <c r="F67" s="1" t="s">
        <v>313</v>
      </c>
      <c r="I67" s="1" t="s">
        <v>307</v>
      </c>
      <c r="J67" s="1">
        <v>27</v>
      </c>
      <c r="K67" s="1" t="s">
        <v>402</v>
      </c>
      <c r="L67" s="2" t="s">
        <v>482</v>
      </c>
      <c r="R67" s="1" t="s">
        <v>797</v>
      </c>
      <c r="S67" s="1" t="s">
        <v>798</v>
      </c>
      <c r="T67" s="1" t="s">
        <v>799</v>
      </c>
      <c r="U67" s="1" t="s">
        <v>800</v>
      </c>
    </row>
    <row r="68" spans="6:21" ht="45" x14ac:dyDescent="0.25">
      <c r="F68" s="1" t="s">
        <v>192</v>
      </c>
      <c r="I68" s="1" t="s">
        <v>312</v>
      </c>
      <c r="J68" s="1">
        <v>25</v>
      </c>
      <c r="K68" s="1" t="s">
        <v>427</v>
      </c>
      <c r="L68" s="2" t="s">
        <v>507</v>
      </c>
      <c r="R68" s="1" t="s">
        <v>801</v>
      </c>
      <c r="S68" s="1" t="s">
        <v>802</v>
      </c>
      <c r="T68" s="1" t="s">
        <v>574</v>
      </c>
      <c r="U68" s="1" t="s">
        <v>803</v>
      </c>
    </row>
    <row r="69" spans="6:21" ht="30" x14ac:dyDescent="0.25">
      <c r="F69" s="1" t="s">
        <v>173</v>
      </c>
      <c r="I69" s="1" t="s">
        <v>296</v>
      </c>
      <c r="J69" s="1">
        <v>24</v>
      </c>
      <c r="K69" s="1" t="s">
        <v>403</v>
      </c>
      <c r="L69" s="2" t="s">
        <v>483</v>
      </c>
      <c r="R69" s="1" t="s">
        <v>804</v>
      </c>
      <c r="S69" s="1" t="s">
        <v>805</v>
      </c>
      <c r="T69" s="1" t="s">
        <v>805</v>
      </c>
      <c r="U69" s="1" t="s">
        <v>806</v>
      </c>
    </row>
    <row r="70" spans="6:21" ht="30" x14ac:dyDescent="0.25">
      <c r="F70" s="1" t="s">
        <v>170</v>
      </c>
      <c r="I70" s="1" t="s">
        <v>293</v>
      </c>
      <c r="J70" s="1">
        <v>22</v>
      </c>
      <c r="K70" s="1" t="s">
        <v>428</v>
      </c>
      <c r="L70" s="2" t="s">
        <v>508</v>
      </c>
      <c r="R70" s="1" t="s">
        <v>807</v>
      </c>
      <c r="S70" s="1" t="s">
        <v>808</v>
      </c>
      <c r="T70" s="1" t="s">
        <v>809</v>
      </c>
      <c r="U70" s="1" t="s">
        <v>810</v>
      </c>
    </row>
    <row r="71" spans="6:21" ht="45" x14ac:dyDescent="0.25">
      <c r="F71" s="1" t="s">
        <v>175</v>
      </c>
      <c r="I71" s="1" t="s">
        <v>298</v>
      </c>
      <c r="J71" s="1">
        <v>31</v>
      </c>
      <c r="K71" s="1" t="s">
        <v>429</v>
      </c>
      <c r="L71" s="2" t="s">
        <v>509</v>
      </c>
      <c r="R71" s="1" t="s">
        <v>811</v>
      </c>
      <c r="S71" s="1" t="s">
        <v>812</v>
      </c>
      <c r="T71" s="1" t="s">
        <v>813</v>
      </c>
      <c r="U71" s="1" t="s">
        <v>814</v>
      </c>
    </row>
    <row r="72" spans="6:21" ht="30" x14ac:dyDescent="0.25">
      <c r="F72" s="1" t="s">
        <v>178</v>
      </c>
      <c r="I72" s="1" t="s">
        <v>305</v>
      </c>
      <c r="J72" s="1">
        <v>24</v>
      </c>
      <c r="K72" s="1" t="s">
        <v>404</v>
      </c>
      <c r="L72" s="2" t="s">
        <v>484</v>
      </c>
      <c r="R72" s="1" t="s">
        <v>815</v>
      </c>
      <c r="S72" s="1" t="s">
        <v>816</v>
      </c>
      <c r="T72" s="1" t="s">
        <v>816</v>
      </c>
      <c r="U72" s="1" t="s">
        <v>817</v>
      </c>
    </row>
    <row r="73" spans="6:21" ht="30" x14ac:dyDescent="0.25">
      <c r="F73" s="1" t="s">
        <v>179</v>
      </c>
      <c r="I73" s="1" t="s">
        <v>303</v>
      </c>
      <c r="J73" s="1">
        <v>19</v>
      </c>
      <c r="K73" s="1" t="s">
        <v>405</v>
      </c>
      <c r="L73" s="2" t="s">
        <v>485</v>
      </c>
      <c r="R73" s="1" t="s">
        <v>818</v>
      </c>
      <c r="S73" s="1" t="s">
        <v>819</v>
      </c>
      <c r="T73" s="1" t="s">
        <v>819</v>
      </c>
      <c r="U73" s="1" t="s">
        <v>820</v>
      </c>
    </row>
    <row r="74" spans="6:21" ht="30" x14ac:dyDescent="0.25">
      <c r="F74" s="1" t="s">
        <v>177</v>
      </c>
      <c r="I74" s="1" t="s">
        <v>174</v>
      </c>
      <c r="J74" s="1">
        <v>24</v>
      </c>
      <c r="K74" s="1" t="s">
        <v>406</v>
      </c>
      <c r="L74" s="2" t="s">
        <v>486</v>
      </c>
      <c r="R74" s="1" t="s">
        <v>821</v>
      </c>
      <c r="S74" s="1" t="s">
        <v>822</v>
      </c>
      <c r="T74" s="1" t="s">
        <v>823</v>
      </c>
      <c r="U74" s="1" t="s">
        <v>824</v>
      </c>
    </row>
    <row r="75" spans="6:21" ht="30" x14ac:dyDescent="0.25">
      <c r="F75" s="1" t="s">
        <v>176</v>
      </c>
      <c r="I75" s="1" t="s">
        <v>300</v>
      </c>
      <c r="J75" s="1">
        <v>24</v>
      </c>
      <c r="K75" s="1" t="s">
        <v>407</v>
      </c>
      <c r="L75" s="2" t="s">
        <v>487</v>
      </c>
      <c r="R75" s="1" t="s">
        <v>825</v>
      </c>
      <c r="S75" s="1" t="s">
        <v>826</v>
      </c>
      <c r="T75" s="1" t="s">
        <v>827</v>
      </c>
      <c r="U75" s="1" t="s">
        <v>828</v>
      </c>
    </row>
    <row r="76" spans="6:21" ht="30" x14ac:dyDescent="0.25">
      <c r="F76" s="1" t="s">
        <v>180</v>
      </c>
      <c r="I76" s="1" t="s">
        <v>149</v>
      </c>
      <c r="J76" s="1">
        <v>21</v>
      </c>
      <c r="K76" s="1" t="s">
        <v>408</v>
      </c>
      <c r="L76" s="2" t="s">
        <v>488</v>
      </c>
      <c r="R76" s="1" t="s">
        <v>829</v>
      </c>
      <c r="S76" s="1" t="s">
        <v>830</v>
      </c>
      <c r="T76" s="1" t="s">
        <v>574</v>
      </c>
      <c r="U76" s="1" t="s">
        <v>831</v>
      </c>
    </row>
    <row r="77" spans="6:21" ht="30" x14ac:dyDescent="0.25">
      <c r="F77" s="1" t="s">
        <v>185</v>
      </c>
      <c r="I77" s="1" t="s">
        <v>324</v>
      </c>
      <c r="J77" s="1">
        <v>23</v>
      </c>
      <c r="K77" s="1" t="s">
        <v>434</v>
      </c>
      <c r="L77" s="2" t="s">
        <v>514</v>
      </c>
      <c r="R77" s="1" t="s">
        <v>832</v>
      </c>
      <c r="S77" s="1" t="s">
        <v>833</v>
      </c>
      <c r="T77" s="1" t="s">
        <v>834</v>
      </c>
      <c r="U77" s="1" t="s">
        <v>835</v>
      </c>
    </row>
    <row r="78" spans="6:21" ht="30" x14ac:dyDescent="0.25">
      <c r="F78" s="1" t="s">
        <v>277</v>
      </c>
      <c r="I78" s="1" t="s">
        <v>326</v>
      </c>
      <c r="J78" s="1">
        <v>24</v>
      </c>
      <c r="K78" s="1" t="s">
        <v>409</v>
      </c>
      <c r="L78" s="2" t="s">
        <v>489</v>
      </c>
      <c r="R78" s="1" t="s">
        <v>836</v>
      </c>
      <c r="S78" s="1" t="s">
        <v>837</v>
      </c>
      <c r="T78" s="1" t="s">
        <v>838</v>
      </c>
      <c r="U78" s="1" t="s">
        <v>839</v>
      </c>
    </row>
    <row r="79" spans="6:21" ht="45" x14ac:dyDescent="0.25">
      <c r="F79" s="1" t="s">
        <v>319</v>
      </c>
      <c r="I79" s="1" t="s">
        <v>328</v>
      </c>
      <c r="J79" s="1">
        <v>26</v>
      </c>
      <c r="K79" s="1" t="s">
        <v>410</v>
      </c>
      <c r="L79" s="2" t="s">
        <v>490</v>
      </c>
      <c r="R79" s="1" t="s">
        <v>840</v>
      </c>
      <c r="S79" s="1" t="s">
        <v>841</v>
      </c>
      <c r="T79" s="1" t="s">
        <v>842</v>
      </c>
      <c r="U79" s="1" t="s">
        <v>843</v>
      </c>
    </row>
    <row r="80" spans="6:21" ht="45" x14ac:dyDescent="0.25">
      <c r="F80" s="1" t="s">
        <v>181</v>
      </c>
      <c r="I80" s="1" t="s">
        <v>333</v>
      </c>
      <c r="J80" s="1">
        <v>29</v>
      </c>
      <c r="K80" s="1" t="s">
        <v>431</v>
      </c>
      <c r="L80" s="2" t="s">
        <v>511</v>
      </c>
      <c r="R80" s="1" t="s">
        <v>844</v>
      </c>
      <c r="S80" s="1" t="s">
        <v>845</v>
      </c>
      <c r="T80" s="1" t="s">
        <v>846</v>
      </c>
      <c r="U80" s="1" t="s">
        <v>847</v>
      </c>
    </row>
    <row r="81" spans="6:21" ht="30" x14ac:dyDescent="0.25">
      <c r="F81" s="1" t="s">
        <v>557</v>
      </c>
      <c r="I81" s="1" t="s">
        <v>114</v>
      </c>
      <c r="J81" s="1">
        <v>23</v>
      </c>
      <c r="K81" s="1" t="s">
        <v>411</v>
      </c>
      <c r="L81" s="2" t="s">
        <v>491</v>
      </c>
      <c r="R81" s="1" t="s">
        <v>535</v>
      </c>
      <c r="S81" s="1" t="s">
        <v>536</v>
      </c>
      <c r="T81" s="1" t="s">
        <v>574</v>
      </c>
      <c r="U81" s="1" t="s">
        <v>848</v>
      </c>
    </row>
    <row r="82" spans="6:21" ht="30" x14ac:dyDescent="0.25">
      <c r="F82" s="1" t="s">
        <v>285</v>
      </c>
      <c r="I82" s="18" t="s">
        <v>182</v>
      </c>
      <c r="J82" s="1">
        <v>22</v>
      </c>
      <c r="K82" s="1" t="s">
        <v>373</v>
      </c>
      <c r="L82" s="2" t="s">
        <v>454</v>
      </c>
      <c r="R82" s="1" t="s">
        <v>849</v>
      </c>
      <c r="S82" s="1" t="s">
        <v>850</v>
      </c>
      <c r="T82" s="1" t="s">
        <v>851</v>
      </c>
      <c r="U82" s="1" t="s">
        <v>852</v>
      </c>
    </row>
    <row r="83" spans="6:21" ht="45" x14ac:dyDescent="0.25">
      <c r="F83" s="1" t="s">
        <v>184</v>
      </c>
      <c r="I83" s="1" t="s">
        <v>342</v>
      </c>
      <c r="J83" s="1">
        <v>24</v>
      </c>
      <c r="K83" s="1" t="s">
        <v>433</v>
      </c>
      <c r="L83" s="2" t="s">
        <v>513</v>
      </c>
      <c r="R83" s="1" t="s">
        <v>853</v>
      </c>
      <c r="S83" s="1" t="s">
        <v>854</v>
      </c>
      <c r="T83" s="1" t="s">
        <v>855</v>
      </c>
      <c r="U83" s="1" t="s">
        <v>856</v>
      </c>
    </row>
    <row r="84" spans="6:21" x14ac:dyDescent="0.25">
      <c r="F84" s="1" t="s">
        <v>163</v>
      </c>
      <c r="R84" s="1" t="s">
        <v>857</v>
      </c>
      <c r="S84" s="1" t="s">
        <v>858</v>
      </c>
      <c r="T84" s="1" t="s">
        <v>859</v>
      </c>
      <c r="U84" s="1" t="s">
        <v>860</v>
      </c>
    </row>
    <row r="85" spans="6:21" x14ac:dyDescent="0.25">
      <c r="F85" s="1" t="s">
        <v>187</v>
      </c>
      <c r="R85" s="1" t="s">
        <v>861</v>
      </c>
      <c r="S85" s="1" t="s">
        <v>862</v>
      </c>
      <c r="T85" s="1" t="s">
        <v>649</v>
      </c>
      <c r="U85" s="1" t="s">
        <v>863</v>
      </c>
    </row>
    <row r="86" spans="6:21" x14ac:dyDescent="0.25">
      <c r="F86" s="1" t="s">
        <v>188</v>
      </c>
      <c r="R86" s="1" t="s">
        <v>864</v>
      </c>
      <c r="S86" s="1" t="s">
        <v>865</v>
      </c>
      <c r="T86" s="1" t="s">
        <v>686</v>
      </c>
      <c r="U86" s="1" t="s">
        <v>866</v>
      </c>
    </row>
    <row r="87" spans="6:21" x14ac:dyDescent="0.25">
      <c r="F87" s="1" t="s">
        <v>193</v>
      </c>
      <c r="R87" s="1" t="s">
        <v>867</v>
      </c>
      <c r="S87" s="1" t="s">
        <v>868</v>
      </c>
      <c r="T87" s="1" t="s">
        <v>838</v>
      </c>
      <c r="U87" s="1" t="s">
        <v>869</v>
      </c>
    </row>
    <row r="88" spans="6:21" x14ac:dyDescent="0.25">
      <c r="F88" s="1" t="s">
        <v>189</v>
      </c>
      <c r="R88" s="1" t="s">
        <v>870</v>
      </c>
      <c r="S88" s="1" t="s">
        <v>871</v>
      </c>
      <c r="T88" s="1" t="s">
        <v>574</v>
      </c>
      <c r="U88" s="1" t="s">
        <v>872</v>
      </c>
    </row>
    <row r="89" spans="6:21" x14ac:dyDescent="0.25">
      <c r="F89" s="1" t="s">
        <v>183</v>
      </c>
      <c r="R89" s="1" t="s">
        <v>873</v>
      </c>
      <c r="S89" s="1" t="s">
        <v>874</v>
      </c>
      <c r="T89" s="1" t="s">
        <v>875</v>
      </c>
      <c r="U89" s="1" t="s">
        <v>876</v>
      </c>
    </row>
    <row r="90" spans="6:21" x14ac:dyDescent="0.25">
      <c r="F90" s="1" t="s">
        <v>191</v>
      </c>
      <c r="R90" s="1" t="s">
        <v>877</v>
      </c>
      <c r="S90" s="1" t="s">
        <v>878</v>
      </c>
      <c r="T90" s="1" t="s">
        <v>879</v>
      </c>
      <c r="U90" s="1" t="s">
        <v>880</v>
      </c>
    </row>
    <row r="91" spans="6:21" x14ac:dyDescent="0.25">
      <c r="F91" s="1" t="s">
        <v>196</v>
      </c>
      <c r="G91" s="1" t="s">
        <v>22</v>
      </c>
      <c r="R91" s="1" t="s">
        <v>881</v>
      </c>
      <c r="S91" s="1" t="s">
        <v>882</v>
      </c>
      <c r="T91" s="1" t="s">
        <v>883</v>
      </c>
      <c r="U91" s="1" t="s">
        <v>884</v>
      </c>
    </row>
    <row r="92" spans="6:21" x14ac:dyDescent="0.25">
      <c r="F92" s="1" t="s">
        <v>195</v>
      </c>
      <c r="R92" s="1" t="s">
        <v>885</v>
      </c>
      <c r="S92" s="1" t="s">
        <v>886</v>
      </c>
      <c r="T92" s="1" t="s">
        <v>823</v>
      </c>
      <c r="U92" s="1" t="s">
        <v>887</v>
      </c>
    </row>
    <row r="93" spans="6:21" x14ac:dyDescent="0.25">
      <c r="F93" s="1" t="s">
        <v>186</v>
      </c>
      <c r="R93" s="1" t="s">
        <v>888</v>
      </c>
      <c r="S93" s="1" t="s">
        <v>889</v>
      </c>
      <c r="T93" s="1" t="s">
        <v>890</v>
      </c>
      <c r="U93" s="1" t="s">
        <v>891</v>
      </c>
    </row>
    <row r="94" spans="6:21" x14ac:dyDescent="0.25">
      <c r="F94" s="1" t="s">
        <v>190</v>
      </c>
      <c r="R94" s="1" t="s">
        <v>892</v>
      </c>
      <c r="S94" s="1" t="s">
        <v>893</v>
      </c>
      <c r="T94" s="1" t="s">
        <v>762</v>
      </c>
      <c r="U94" s="1" t="s">
        <v>894</v>
      </c>
    </row>
    <row r="95" spans="6:21" x14ac:dyDescent="0.25">
      <c r="F95" s="1" t="s">
        <v>197</v>
      </c>
      <c r="R95" s="1" t="s">
        <v>895</v>
      </c>
      <c r="S95" s="1" t="s">
        <v>896</v>
      </c>
      <c r="T95" s="1" t="s">
        <v>897</v>
      </c>
      <c r="U95" s="1" t="s">
        <v>898</v>
      </c>
    </row>
    <row r="96" spans="6:21" x14ac:dyDescent="0.25">
      <c r="F96" s="1" t="s">
        <v>198</v>
      </c>
      <c r="R96" s="1" t="s">
        <v>899</v>
      </c>
      <c r="S96" s="1" t="s">
        <v>900</v>
      </c>
      <c r="U96" s="1" t="s">
        <v>901</v>
      </c>
    </row>
    <row r="97" spans="6:21" x14ac:dyDescent="0.25">
      <c r="F97" s="1" t="s">
        <v>203</v>
      </c>
      <c r="R97" s="1" t="s">
        <v>902</v>
      </c>
      <c r="S97" s="1" t="s">
        <v>903</v>
      </c>
      <c r="T97" s="1" t="s">
        <v>904</v>
      </c>
      <c r="U97" s="1" t="s">
        <v>905</v>
      </c>
    </row>
    <row r="98" spans="6:21" x14ac:dyDescent="0.25">
      <c r="F98" s="1" t="s">
        <v>200</v>
      </c>
      <c r="R98" s="1" t="s">
        <v>906</v>
      </c>
      <c r="S98" s="1" t="s">
        <v>907</v>
      </c>
      <c r="T98" s="1" t="s">
        <v>582</v>
      </c>
      <c r="U98" s="1" t="s">
        <v>908</v>
      </c>
    </row>
    <row r="99" spans="6:21" x14ac:dyDescent="0.25">
      <c r="F99" s="1" t="s">
        <v>338</v>
      </c>
      <c r="R99" s="1" t="s">
        <v>909</v>
      </c>
      <c r="S99" s="1" t="s">
        <v>910</v>
      </c>
      <c r="T99" s="1" t="s">
        <v>911</v>
      </c>
      <c r="U99" s="1" t="s">
        <v>912</v>
      </c>
    </row>
    <row r="100" spans="6:21" x14ac:dyDescent="0.25">
      <c r="F100" s="1" t="s">
        <v>201</v>
      </c>
      <c r="R100" s="1" t="s">
        <v>913</v>
      </c>
      <c r="S100" s="1" t="s">
        <v>914</v>
      </c>
      <c r="T100" s="1" t="s">
        <v>915</v>
      </c>
      <c r="U100" s="1" t="s">
        <v>916</v>
      </c>
    </row>
    <row r="101" spans="6:21" x14ac:dyDescent="0.25">
      <c r="F101" s="1" t="s">
        <v>199</v>
      </c>
      <c r="R101" s="1" t="s">
        <v>917</v>
      </c>
      <c r="S101" s="1" t="s">
        <v>918</v>
      </c>
      <c r="T101" s="1" t="s">
        <v>919</v>
      </c>
      <c r="U101" s="1" t="s">
        <v>920</v>
      </c>
    </row>
    <row r="102" spans="6:21" x14ac:dyDescent="0.25">
      <c r="F102" s="1" t="s">
        <v>204</v>
      </c>
      <c r="R102" s="1" t="s">
        <v>921</v>
      </c>
      <c r="S102" s="1" t="s">
        <v>922</v>
      </c>
      <c r="T102" s="1" t="s">
        <v>923</v>
      </c>
      <c r="U102" s="1" t="s">
        <v>924</v>
      </c>
    </row>
    <row r="103" spans="6:21" x14ac:dyDescent="0.25">
      <c r="F103" s="1" t="s">
        <v>213</v>
      </c>
      <c r="R103" s="1" t="s">
        <v>925</v>
      </c>
      <c r="S103" s="1" t="s">
        <v>926</v>
      </c>
      <c r="T103" s="1" t="s">
        <v>927</v>
      </c>
      <c r="U103" s="1" t="s">
        <v>928</v>
      </c>
    </row>
    <row r="104" spans="6:21" x14ac:dyDescent="0.25">
      <c r="F104" s="1" t="s">
        <v>209</v>
      </c>
      <c r="R104" s="1" t="s">
        <v>929</v>
      </c>
      <c r="S104" s="1" t="s">
        <v>930</v>
      </c>
      <c r="T104" s="1" t="s">
        <v>930</v>
      </c>
      <c r="U104" s="1" t="s">
        <v>931</v>
      </c>
    </row>
    <row r="105" spans="6:21" x14ac:dyDescent="0.25">
      <c r="F105" s="1" t="s">
        <v>205</v>
      </c>
      <c r="R105" s="1" t="s">
        <v>932</v>
      </c>
      <c r="S105" s="1" t="s">
        <v>933</v>
      </c>
      <c r="T105" s="1" t="s">
        <v>686</v>
      </c>
      <c r="U105" s="1" t="s">
        <v>934</v>
      </c>
    </row>
    <row r="106" spans="6:21" x14ac:dyDescent="0.25">
      <c r="F106" s="1" t="s">
        <v>212</v>
      </c>
      <c r="R106" s="1" t="s">
        <v>935</v>
      </c>
      <c r="S106" s="1" t="s">
        <v>936</v>
      </c>
      <c r="T106" s="1" t="s">
        <v>937</v>
      </c>
      <c r="U106" s="1" t="s">
        <v>938</v>
      </c>
    </row>
    <row r="107" spans="6:21" x14ac:dyDescent="0.25">
      <c r="F107" s="1" t="s">
        <v>211</v>
      </c>
      <c r="R107" s="1" t="s">
        <v>939</v>
      </c>
      <c r="S107" s="1" t="s">
        <v>940</v>
      </c>
      <c r="T107" s="1" t="s">
        <v>716</v>
      </c>
      <c r="U107" s="1" t="s">
        <v>941</v>
      </c>
    </row>
    <row r="108" spans="6:21" x14ac:dyDescent="0.25">
      <c r="F108" s="1" t="s">
        <v>206</v>
      </c>
      <c r="R108" s="1" t="s">
        <v>942</v>
      </c>
      <c r="S108" s="1" t="s">
        <v>943</v>
      </c>
      <c r="T108" s="1" t="s">
        <v>944</v>
      </c>
      <c r="U108" s="1" t="s">
        <v>945</v>
      </c>
    </row>
    <row r="109" spans="6:21" x14ac:dyDescent="0.25">
      <c r="F109" s="1" t="s">
        <v>208</v>
      </c>
      <c r="R109" s="1" t="s">
        <v>946</v>
      </c>
      <c r="S109" s="1" t="s">
        <v>947</v>
      </c>
      <c r="T109" s="1" t="s">
        <v>948</v>
      </c>
      <c r="U109" s="1" t="s">
        <v>949</v>
      </c>
    </row>
    <row r="110" spans="6:21" x14ac:dyDescent="0.25">
      <c r="F110" s="1" t="s">
        <v>207</v>
      </c>
      <c r="R110" s="1" t="s">
        <v>950</v>
      </c>
      <c r="S110" s="1" t="s">
        <v>951</v>
      </c>
      <c r="T110" s="1" t="s">
        <v>952</v>
      </c>
      <c r="U110" s="1" t="s">
        <v>953</v>
      </c>
    </row>
    <row r="111" spans="6:21" x14ac:dyDescent="0.25">
      <c r="F111" s="1" t="s">
        <v>214</v>
      </c>
      <c r="R111" s="1" t="s">
        <v>954</v>
      </c>
      <c r="S111" s="1" t="s">
        <v>955</v>
      </c>
      <c r="T111" s="1" t="s">
        <v>956</v>
      </c>
      <c r="U111" s="1" t="s">
        <v>957</v>
      </c>
    </row>
    <row r="112" spans="6:21" x14ac:dyDescent="0.25">
      <c r="F112" s="1" t="s">
        <v>216</v>
      </c>
      <c r="R112" s="1" t="s">
        <v>958</v>
      </c>
      <c r="S112" s="1" t="s">
        <v>959</v>
      </c>
      <c r="T112" s="1" t="s">
        <v>666</v>
      </c>
      <c r="U112" s="1" t="s">
        <v>960</v>
      </c>
    </row>
    <row r="113" spans="6:21" x14ac:dyDescent="0.25">
      <c r="F113" s="1" t="s">
        <v>218</v>
      </c>
      <c r="R113" s="1" t="s">
        <v>961</v>
      </c>
      <c r="S113" s="1" t="s">
        <v>962</v>
      </c>
      <c r="T113" s="1" t="s">
        <v>962</v>
      </c>
      <c r="U113" s="1" t="s">
        <v>963</v>
      </c>
    </row>
    <row r="114" spans="6:21" x14ac:dyDescent="0.25">
      <c r="F114" s="1" t="s">
        <v>215</v>
      </c>
      <c r="R114" s="1" t="s">
        <v>964</v>
      </c>
      <c r="S114" s="1" t="s">
        <v>965</v>
      </c>
      <c r="T114" s="1" t="s">
        <v>965</v>
      </c>
      <c r="U114" s="1" t="s">
        <v>966</v>
      </c>
    </row>
    <row r="115" spans="6:21" x14ac:dyDescent="0.25">
      <c r="F115" s="1" t="s">
        <v>217</v>
      </c>
      <c r="R115" s="1" t="s">
        <v>542</v>
      </c>
      <c r="S115" s="1" t="s">
        <v>543</v>
      </c>
      <c r="T115" s="1" t="s">
        <v>967</v>
      </c>
      <c r="U115" s="1" t="s">
        <v>968</v>
      </c>
    </row>
    <row r="116" spans="6:21" x14ac:dyDescent="0.25">
      <c r="F116" s="1" t="s">
        <v>227</v>
      </c>
      <c r="R116" s="1" t="s">
        <v>969</v>
      </c>
      <c r="S116" s="1" t="s">
        <v>970</v>
      </c>
      <c r="T116" s="1" t="s">
        <v>971</v>
      </c>
      <c r="U116" s="1" t="s">
        <v>972</v>
      </c>
    </row>
    <row r="117" spans="6:21" x14ac:dyDescent="0.25">
      <c r="F117" s="1" t="s">
        <v>219</v>
      </c>
      <c r="R117" s="1" t="s">
        <v>973</v>
      </c>
      <c r="S117" s="1" t="s">
        <v>974</v>
      </c>
      <c r="T117" s="1" t="s">
        <v>975</v>
      </c>
      <c r="U117" s="1" t="s">
        <v>976</v>
      </c>
    </row>
    <row r="118" spans="6:21" x14ac:dyDescent="0.25">
      <c r="F118" s="1" t="s">
        <v>222</v>
      </c>
      <c r="R118" s="1" t="s">
        <v>977</v>
      </c>
      <c r="S118" s="1" t="s">
        <v>978</v>
      </c>
      <c r="T118" s="1" t="s">
        <v>979</v>
      </c>
      <c r="U118" s="1" t="s">
        <v>980</v>
      </c>
    </row>
    <row r="119" spans="6:21" x14ac:dyDescent="0.25">
      <c r="F119" s="1" t="s">
        <v>347</v>
      </c>
      <c r="R119" s="1" t="s">
        <v>981</v>
      </c>
      <c r="S119" s="1" t="s">
        <v>982</v>
      </c>
      <c r="T119" s="1" t="s">
        <v>982</v>
      </c>
      <c r="U119" s="1" t="s">
        <v>983</v>
      </c>
    </row>
    <row r="120" spans="6:21" x14ac:dyDescent="0.25">
      <c r="F120" s="1" t="s">
        <v>225</v>
      </c>
      <c r="R120" s="1" t="s">
        <v>540</v>
      </c>
      <c r="S120" s="1" t="s">
        <v>541</v>
      </c>
      <c r="T120" s="1" t="s">
        <v>984</v>
      </c>
      <c r="U120" s="1" t="s">
        <v>985</v>
      </c>
    </row>
    <row r="121" spans="6:21" x14ac:dyDescent="0.25">
      <c r="F121" s="1" t="s">
        <v>220</v>
      </c>
      <c r="R121" s="1" t="s">
        <v>986</v>
      </c>
      <c r="S121" s="1" t="s">
        <v>987</v>
      </c>
      <c r="T121" s="1" t="s">
        <v>988</v>
      </c>
      <c r="U121" s="1" t="s">
        <v>989</v>
      </c>
    </row>
    <row r="122" spans="6:21" x14ac:dyDescent="0.25">
      <c r="F122" s="1" t="s">
        <v>228</v>
      </c>
      <c r="R122" s="1" t="s">
        <v>990</v>
      </c>
      <c r="S122" s="1" t="s">
        <v>991</v>
      </c>
      <c r="U122" s="1" t="s">
        <v>992</v>
      </c>
    </row>
    <row r="123" spans="6:21" x14ac:dyDescent="0.25">
      <c r="F123" s="1" t="s">
        <v>237</v>
      </c>
      <c r="R123" s="1" t="s">
        <v>993</v>
      </c>
      <c r="S123" s="1" t="s">
        <v>994</v>
      </c>
      <c r="T123" s="1" t="s">
        <v>995</v>
      </c>
      <c r="U123" s="1" t="s">
        <v>996</v>
      </c>
    </row>
    <row r="124" spans="6:21" x14ac:dyDescent="0.25">
      <c r="F124" s="1" t="s">
        <v>229</v>
      </c>
      <c r="R124" s="1" t="s">
        <v>997</v>
      </c>
      <c r="S124" s="1" t="s">
        <v>998</v>
      </c>
      <c r="T124" s="1" t="s">
        <v>998</v>
      </c>
      <c r="U124" s="1" t="s">
        <v>999</v>
      </c>
    </row>
    <row r="125" spans="6:21" x14ac:dyDescent="0.25">
      <c r="F125" s="1" t="s">
        <v>234</v>
      </c>
      <c r="R125" s="1" t="s">
        <v>1000</v>
      </c>
      <c r="S125" s="1" t="s">
        <v>1001</v>
      </c>
      <c r="T125" s="1" t="s">
        <v>1001</v>
      </c>
      <c r="U125" s="1" t="s">
        <v>1002</v>
      </c>
    </row>
    <row r="126" spans="6:21" x14ac:dyDescent="0.25">
      <c r="F126" s="1" t="s">
        <v>233</v>
      </c>
      <c r="R126" s="1" t="s">
        <v>1003</v>
      </c>
      <c r="S126" s="1" t="s">
        <v>1004</v>
      </c>
      <c r="T126" s="1" t="s">
        <v>1004</v>
      </c>
      <c r="U126" s="1" t="s">
        <v>1005</v>
      </c>
    </row>
    <row r="127" spans="6:21" x14ac:dyDescent="0.25">
      <c r="F127" s="1" t="s">
        <v>238</v>
      </c>
      <c r="R127" s="1" t="s">
        <v>1006</v>
      </c>
      <c r="S127" s="1" t="s">
        <v>1007</v>
      </c>
      <c r="T127" s="1" t="s">
        <v>1008</v>
      </c>
      <c r="U127" s="1" t="s">
        <v>1009</v>
      </c>
    </row>
    <row r="128" spans="6:21" x14ac:dyDescent="0.25">
      <c r="F128" s="1" t="s">
        <v>231</v>
      </c>
      <c r="R128" s="1" t="s">
        <v>1010</v>
      </c>
      <c r="S128" s="1" t="s">
        <v>1011</v>
      </c>
      <c r="T128" s="1" t="s">
        <v>1012</v>
      </c>
      <c r="U128" s="1" t="s">
        <v>1013</v>
      </c>
    </row>
    <row r="129" spans="6:21" x14ac:dyDescent="0.25">
      <c r="F129" s="1" t="s">
        <v>235</v>
      </c>
      <c r="R129" s="1" t="s">
        <v>1014</v>
      </c>
      <c r="S129" s="1" t="s">
        <v>1015</v>
      </c>
      <c r="T129" s="1" t="s">
        <v>1016</v>
      </c>
      <c r="U129" s="1" t="s">
        <v>1017</v>
      </c>
    </row>
    <row r="130" spans="6:21" x14ac:dyDescent="0.25">
      <c r="F130" s="1" t="s">
        <v>236</v>
      </c>
      <c r="R130" s="1" t="s">
        <v>1018</v>
      </c>
      <c r="S130" s="1" t="s">
        <v>1019</v>
      </c>
      <c r="T130" s="1" t="s">
        <v>1020</v>
      </c>
      <c r="U130" s="1" t="s">
        <v>1021</v>
      </c>
    </row>
    <row r="131" spans="6:21" x14ac:dyDescent="0.25">
      <c r="F131" s="1" t="s">
        <v>250</v>
      </c>
      <c r="R131" s="1" t="s">
        <v>1022</v>
      </c>
      <c r="S131" s="1" t="s">
        <v>1023</v>
      </c>
      <c r="T131" s="1" t="s">
        <v>1024</v>
      </c>
      <c r="U131" s="1" t="s">
        <v>1025</v>
      </c>
    </row>
    <row r="132" spans="6:21" x14ac:dyDescent="0.25">
      <c r="F132" s="1" t="s">
        <v>246</v>
      </c>
      <c r="R132" s="1" t="s">
        <v>1026</v>
      </c>
      <c r="S132" s="1" t="s">
        <v>1027</v>
      </c>
      <c r="T132" s="1" t="s">
        <v>1028</v>
      </c>
      <c r="U132" s="1" t="s">
        <v>1029</v>
      </c>
    </row>
    <row r="133" spans="6:21" x14ac:dyDescent="0.25">
      <c r="F133" s="1" t="s">
        <v>244</v>
      </c>
      <c r="R133" s="1" t="s">
        <v>1030</v>
      </c>
      <c r="S133" s="1" t="s">
        <v>1031</v>
      </c>
      <c r="T133" s="1" t="s">
        <v>1032</v>
      </c>
      <c r="U133" s="1" t="s">
        <v>1033</v>
      </c>
    </row>
    <row r="134" spans="6:21" x14ac:dyDescent="0.25">
      <c r="F134" s="1" t="s">
        <v>258</v>
      </c>
      <c r="R134" s="1" t="s">
        <v>1034</v>
      </c>
      <c r="S134" s="1" t="s">
        <v>1035</v>
      </c>
      <c r="T134" s="1" t="s">
        <v>1035</v>
      </c>
      <c r="U134" s="1" t="s">
        <v>1036</v>
      </c>
    </row>
    <row r="135" spans="6:21" x14ac:dyDescent="0.25">
      <c r="F135" s="1" t="s">
        <v>260</v>
      </c>
      <c r="R135" s="1" t="s">
        <v>538</v>
      </c>
      <c r="S135" s="1" t="s">
        <v>539</v>
      </c>
      <c r="T135" s="1" t="s">
        <v>14</v>
      </c>
      <c r="U135" s="1" t="s">
        <v>1037</v>
      </c>
    </row>
    <row r="136" spans="6:21" x14ac:dyDescent="0.25">
      <c r="F136" s="1" t="s">
        <v>257</v>
      </c>
      <c r="R136" s="1" t="s">
        <v>545</v>
      </c>
      <c r="S136" s="1" t="s">
        <v>1038</v>
      </c>
      <c r="T136" s="1" t="s">
        <v>1038</v>
      </c>
      <c r="U136" s="1" t="s">
        <v>1039</v>
      </c>
    </row>
    <row r="137" spans="6:21" x14ac:dyDescent="0.25">
      <c r="F137" s="1" t="s">
        <v>247</v>
      </c>
    </row>
    <row r="138" spans="6:21" x14ac:dyDescent="0.25">
      <c r="F138" s="1" t="s">
        <v>255</v>
      </c>
    </row>
    <row r="139" spans="6:21" x14ac:dyDescent="0.25">
      <c r="F139" s="1" t="s">
        <v>245</v>
      </c>
    </row>
    <row r="140" spans="6:21" x14ac:dyDescent="0.25">
      <c r="F140" s="1" t="s">
        <v>252</v>
      </c>
    </row>
    <row r="141" spans="6:21" x14ac:dyDescent="0.25">
      <c r="F141" s="1" t="s">
        <v>253</v>
      </c>
    </row>
    <row r="142" spans="6:21" x14ac:dyDescent="0.25">
      <c r="F142" s="1" t="s">
        <v>256</v>
      </c>
    </row>
    <row r="143" spans="6:21" x14ac:dyDescent="0.25">
      <c r="F143" s="1" t="s">
        <v>349</v>
      </c>
    </row>
    <row r="144" spans="6:21" x14ac:dyDescent="0.25">
      <c r="F144" s="1" t="s">
        <v>259</v>
      </c>
    </row>
    <row r="145" spans="6:6" x14ac:dyDescent="0.25">
      <c r="F145" s="1" t="s">
        <v>559</v>
      </c>
    </row>
    <row r="146" spans="6:6" x14ac:dyDescent="0.25">
      <c r="F146" s="1" t="s">
        <v>241</v>
      </c>
    </row>
    <row r="147" spans="6:6" x14ac:dyDescent="0.25">
      <c r="F147" s="1" t="s">
        <v>240</v>
      </c>
    </row>
    <row r="148" spans="6:6" x14ac:dyDescent="0.25">
      <c r="F148" s="1" t="s">
        <v>249</v>
      </c>
    </row>
    <row r="149" spans="6:6" x14ac:dyDescent="0.25">
      <c r="F149" s="1" t="s">
        <v>242</v>
      </c>
    </row>
    <row r="150" spans="6:6" x14ac:dyDescent="0.25">
      <c r="F150" s="1" t="s">
        <v>254</v>
      </c>
    </row>
    <row r="151" spans="6:6" x14ac:dyDescent="0.25">
      <c r="F151" s="1" t="s">
        <v>239</v>
      </c>
    </row>
    <row r="152" spans="6:6" x14ac:dyDescent="0.25">
      <c r="F152" s="1" t="s">
        <v>261</v>
      </c>
    </row>
    <row r="153" spans="6:6" x14ac:dyDescent="0.25">
      <c r="F153" s="1" t="s">
        <v>262</v>
      </c>
    </row>
    <row r="154" spans="6:6" x14ac:dyDescent="0.25">
      <c r="F154" s="1" t="s">
        <v>271</v>
      </c>
    </row>
    <row r="155" spans="6:6" x14ac:dyDescent="0.25">
      <c r="F155" s="1" t="s">
        <v>270</v>
      </c>
    </row>
    <row r="156" spans="6:6" x14ac:dyDescent="0.25">
      <c r="F156" s="1" t="s">
        <v>268</v>
      </c>
    </row>
    <row r="157" spans="6:6" x14ac:dyDescent="0.25">
      <c r="F157" s="1" t="s">
        <v>263</v>
      </c>
    </row>
    <row r="158" spans="6:6" x14ac:dyDescent="0.25">
      <c r="F158" s="1" t="s">
        <v>273</v>
      </c>
    </row>
    <row r="159" spans="6:6" x14ac:dyDescent="0.25">
      <c r="F159" s="1" t="s">
        <v>267</v>
      </c>
    </row>
    <row r="160" spans="6:6" x14ac:dyDescent="0.25">
      <c r="F160" s="1" t="s">
        <v>264</v>
      </c>
    </row>
    <row r="161" spans="6:7" x14ac:dyDescent="0.25">
      <c r="F161" s="1" t="s">
        <v>266</v>
      </c>
    </row>
    <row r="162" spans="6:7" x14ac:dyDescent="0.25">
      <c r="F162" s="1" t="s">
        <v>272</v>
      </c>
    </row>
    <row r="163" spans="6:7" x14ac:dyDescent="0.25">
      <c r="F163" s="1" t="s">
        <v>265</v>
      </c>
    </row>
    <row r="164" spans="6:7" x14ac:dyDescent="0.25">
      <c r="F164" s="1" t="s">
        <v>558</v>
      </c>
    </row>
    <row r="165" spans="6:7" x14ac:dyDescent="0.25">
      <c r="F165" s="1" t="s">
        <v>251</v>
      </c>
      <c r="G165" s="1" t="s">
        <v>22</v>
      </c>
    </row>
    <row r="166" spans="6:7" x14ac:dyDescent="0.25">
      <c r="F166" s="1" t="s">
        <v>269</v>
      </c>
    </row>
    <row r="167" spans="6:7" x14ac:dyDescent="0.25">
      <c r="F167" s="1" t="s">
        <v>274</v>
      </c>
    </row>
    <row r="168" spans="6:7" x14ac:dyDescent="0.25">
      <c r="F168" s="1" t="s">
        <v>280</v>
      </c>
    </row>
    <row r="169" spans="6:7" x14ac:dyDescent="0.25">
      <c r="F169" s="1" t="s">
        <v>288</v>
      </c>
    </row>
    <row r="170" spans="6:7" x14ac:dyDescent="0.25">
      <c r="F170" s="1" t="s">
        <v>396</v>
      </c>
    </row>
    <row r="171" spans="6:7" x14ac:dyDescent="0.25">
      <c r="F171" s="1" t="s">
        <v>275</v>
      </c>
    </row>
    <row r="172" spans="6:7" x14ac:dyDescent="0.25">
      <c r="F172" s="1" t="s">
        <v>278</v>
      </c>
    </row>
    <row r="173" spans="6:7" x14ac:dyDescent="0.25">
      <c r="F173" s="1" t="s">
        <v>289</v>
      </c>
    </row>
    <row r="174" spans="6:7" x14ac:dyDescent="0.25">
      <c r="F174" s="1" t="s">
        <v>276</v>
      </c>
    </row>
    <row r="175" spans="6:7" x14ac:dyDescent="0.25">
      <c r="F175" s="1" t="s">
        <v>279</v>
      </c>
    </row>
    <row r="176" spans="6:7" x14ac:dyDescent="0.25">
      <c r="F176" s="1" t="s">
        <v>283</v>
      </c>
    </row>
    <row r="177" spans="6:7" x14ac:dyDescent="0.25">
      <c r="F177" s="1" t="s">
        <v>281</v>
      </c>
    </row>
    <row r="178" spans="6:7" x14ac:dyDescent="0.25">
      <c r="F178" s="1" t="s">
        <v>287</v>
      </c>
    </row>
    <row r="179" spans="6:7" x14ac:dyDescent="0.25">
      <c r="F179" s="1" t="s">
        <v>284</v>
      </c>
      <c r="G179" s="1" t="s">
        <v>22</v>
      </c>
    </row>
    <row r="180" spans="6:7" x14ac:dyDescent="0.25">
      <c r="F180" s="1" t="s">
        <v>290</v>
      </c>
    </row>
    <row r="181" spans="6:7" x14ac:dyDescent="0.25">
      <c r="F181" s="1" t="s">
        <v>291</v>
      </c>
    </row>
    <row r="182" spans="6:7" x14ac:dyDescent="0.25">
      <c r="F182" s="1" t="s">
        <v>292</v>
      </c>
    </row>
    <row r="183" spans="6:7" x14ac:dyDescent="0.25">
      <c r="F183" s="1" t="s">
        <v>294</v>
      </c>
    </row>
    <row r="184" spans="6:7" x14ac:dyDescent="0.25">
      <c r="F184" s="1" t="s">
        <v>295</v>
      </c>
    </row>
    <row r="185" spans="6:7" x14ac:dyDescent="0.25">
      <c r="F185" s="1" t="s">
        <v>136</v>
      </c>
    </row>
    <row r="186" spans="6:7" x14ac:dyDescent="0.25">
      <c r="F186" s="1" t="s">
        <v>302</v>
      </c>
    </row>
    <row r="187" spans="6:7" x14ac:dyDescent="0.25">
      <c r="F187" s="1" t="s">
        <v>224</v>
      </c>
    </row>
    <row r="188" spans="6:7" x14ac:dyDescent="0.25">
      <c r="F188" s="1" t="s">
        <v>230</v>
      </c>
    </row>
    <row r="189" spans="6:7" x14ac:dyDescent="0.25">
      <c r="F189" s="1" t="s">
        <v>243</v>
      </c>
    </row>
    <row r="190" spans="6:7" x14ac:dyDescent="0.25">
      <c r="F190" s="1" t="s">
        <v>282</v>
      </c>
    </row>
    <row r="191" spans="6:7" x14ac:dyDescent="0.25">
      <c r="F191" s="1" t="s">
        <v>339</v>
      </c>
    </row>
    <row r="192" spans="6:7" x14ac:dyDescent="0.25">
      <c r="F192" s="1" t="s">
        <v>346</v>
      </c>
    </row>
    <row r="193" spans="6:6" x14ac:dyDescent="0.25">
      <c r="F193" s="1" t="s">
        <v>307</v>
      </c>
    </row>
    <row r="194" spans="6:6" x14ac:dyDescent="0.25">
      <c r="F194" s="1" t="s">
        <v>312</v>
      </c>
    </row>
    <row r="195" spans="6:6" x14ac:dyDescent="0.25">
      <c r="F195" s="1" t="s">
        <v>296</v>
      </c>
    </row>
    <row r="196" spans="6:6" x14ac:dyDescent="0.25">
      <c r="F196" s="1" t="s">
        <v>308</v>
      </c>
    </row>
    <row r="197" spans="6:6" x14ac:dyDescent="0.25">
      <c r="F197" s="1" t="s">
        <v>293</v>
      </c>
    </row>
    <row r="198" spans="6:6" x14ac:dyDescent="0.25">
      <c r="F198" s="1" t="s">
        <v>298</v>
      </c>
    </row>
    <row r="199" spans="6:6" x14ac:dyDescent="0.25">
      <c r="F199" s="1" t="s">
        <v>306</v>
      </c>
    </row>
    <row r="200" spans="6:6" x14ac:dyDescent="0.25">
      <c r="F200" s="1" t="s">
        <v>301</v>
      </c>
    </row>
    <row r="201" spans="6:6" x14ac:dyDescent="0.25">
      <c r="F201" s="1" t="s">
        <v>314</v>
      </c>
    </row>
    <row r="202" spans="6:6" x14ac:dyDescent="0.25">
      <c r="F202" s="1" t="s">
        <v>305</v>
      </c>
    </row>
    <row r="203" spans="6:6" x14ac:dyDescent="0.25">
      <c r="F203" s="1" t="s">
        <v>303</v>
      </c>
    </row>
    <row r="204" spans="6:6" x14ac:dyDescent="0.25">
      <c r="F204" s="1" t="s">
        <v>297</v>
      </c>
    </row>
    <row r="205" spans="6:6" x14ac:dyDescent="0.25">
      <c r="F205" s="1" t="s">
        <v>309</v>
      </c>
    </row>
    <row r="206" spans="6:6" x14ac:dyDescent="0.25">
      <c r="F206" s="1" t="s">
        <v>350</v>
      </c>
    </row>
    <row r="207" spans="6:6" x14ac:dyDescent="0.25">
      <c r="F207" s="1" t="s">
        <v>194</v>
      </c>
    </row>
    <row r="208" spans="6:6" x14ac:dyDescent="0.25">
      <c r="F208" s="1" t="s">
        <v>549</v>
      </c>
    </row>
    <row r="209" spans="6:6" x14ac:dyDescent="0.25">
      <c r="F209" s="1" t="s">
        <v>311</v>
      </c>
    </row>
    <row r="210" spans="6:6" x14ac:dyDescent="0.25">
      <c r="F210" s="1" t="s">
        <v>174</v>
      </c>
    </row>
    <row r="211" spans="6:6" x14ac:dyDescent="0.25">
      <c r="F211" s="1" t="s">
        <v>232</v>
      </c>
    </row>
    <row r="212" spans="6:6" x14ac:dyDescent="0.25">
      <c r="F212" s="1" t="s">
        <v>299</v>
      </c>
    </row>
    <row r="213" spans="6:6" x14ac:dyDescent="0.25">
      <c r="F213" s="1" t="s">
        <v>310</v>
      </c>
    </row>
    <row r="214" spans="6:6" x14ac:dyDescent="0.25">
      <c r="F214" s="1" t="s">
        <v>304</v>
      </c>
    </row>
    <row r="215" spans="6:6" x14ac:dyDescent="0.25">
      <c r="F215" s="1" t="s">
        <v>316</v>
      </c>
    </row>
    <row r="216" spans="6:6" x14ac:dyDescent="0.25">
      <c r="F216" s="1" t="s">
        <v>300</v>
      </c>
    </row>
    <row r="217" spans="6:6" x14ac:dyDescent="0.25">
      <c r="F217" s="1" t="s">
        <v>149</v>
      </c>
    </row>
    <row r="218" spans="6:6" x14ac:dyDescent="0.25">
      <c r="F218" s="1" t="s">
        <v>315</v>
      </c>
    </row>
    <row r="219" spans="6:6" x14ac:dyDescent="0.25">
      <c r="F219" s="1" t="s">
        <v>331</v>
      </c>
    </row>
    <row r="220" spans="6:6" x14ac:dyDescent="0.25">
      <c r="F220" s="1" t="s">
        <v>322</v>
      </c>
    </row>
    <row r="221" spans="6:6" x14ac:dyDescent="0.25">
      <c r="F221" s="1" t="s">
        <v>332</v>
      </c>
    </row>
    <row r="222" spans="6:6" x14ac:dyDescent="0.25">
      <c r="F222" s="1" t="s">
        <v>321</v>
      </c>
    </row>
    <row r="223" spans="6:6" x14ac:dyDescent="0.25">
      <c r="F223" s="1" t="s">
        <v>324</v>
      </c>
    </row>
    <row r="224" spans="6:6" x14ac:dyDescent="0.25">
      <c r="F224" s="1" t="s">
        <v>320</v>
      </c>
    </row>
    <row r="225" spans="6:7" x14ac:dyDescent="0.25">
      <c r="F225" s="1" t="s">
        <v>323</v>
      </c>
    </row>
    <row r="226" spans="6:7" x14ac:dyDescent="0.25">
      <c r="F226" s="1" t="s">
        <v>327</v>
      </c>
    </row>
    <row r="227" spans="6:7" x14ac:dyDescent="0.25">
      <c r="F227" s="1" t="s">
        <v>329</v>
      </c>
    </row>
    <row r="228" spans="6:7" x14ac:dyDescent="0.25">
      <c r="F228" s="1" t="s">
        <v>326</v>
      </c>
    </row>
    <row r="229" spans="6:7" x14ac:dyDescent="0.25">
      <c r="F229" s="1" t="s">
        <v>328</v>
      </c>
    </row>
    <row r="230" spans="6:7" x14ac:dyDescent="0.25">
      <c r="F230" s="1" t="s">
        <v>325</v>
      </c>
    </row>
    <row r="231" spans="6:7" x14ac:dyDescent="0.25">
      <c r="F231" s="1" t="s">
        <v>317</v>
      </c>
    </row>
    <row r="232" spans="6:7" x14ac:dyDescent="0.25">
      <c r="F232" s="1" t="s">
        <v>330</v>
      </c>
    </row>
    <row r="233" spans="6:7" x14ac:dyDescent="0.25">
      <c r="F233" s="1" t="s">
        <v>334</v>
      </c>
    </row>
    <row r="234" spans="6:7" x14ac:dyDescent="0.25">
      <c r="F234" s="1" t="s">
        <v>333</v>
      </c>
    </row>
    <row r="235" spans="6:7" x14ac:dyDescent="0.25">
      <c r="F235" s="1" t="s">
        <v>114</v>
      </c>
    </row>
    <row r="236" spans="6:7" x14ac:dyDescent="0.25">
      <c r="F236" s="1" t="s">
        <v>182</v>
      </c>
    </row>
    <row r="237" spans="6:7" x14ac:dyDescent="0.25">
      <c r="F237" s="1" t="s">
        <v>335</v>
      </c>
      <c r="G237" s="1" t="s">
        <v>22</v>
      </c>
    </row>
    <row r="238" spans="6:7" x14ac:dyDescent="0.25">
      <c r="F238" s="1" t="s">
        <v>336</v>
      </c>
    </row>
    <row r="239" spans="6:7" x14ac:dyDescent="0.25">
      <c r="F239" s="1" t="s">
        <v>337</v>
      </c>
    </row>
    <row r="240" spans="6:7" x14ac:dyDescent="0.25">
      <c r="F240" s="1" t="s">
        <v>344</v>
      </c>
    </row>
    <row r="241" spans="6:7" x14ac:dyDescent="0.25">
      <c r="F241" s="1" t="s">
        <v>340</v>
      </c>
    </row>
    <row r="242" spans="6:7" x14ac:dyDescent="0.25">
      <c r="F242" s="1" t="s">
        <v>343</v>
      </c>
    </row>
    <row r="243" spans="6:7" x14ac:dyDescent="0.25">
      <c r="F243" s="1" t="s">
        <v>342</v>
      </c>
      <c r="G243" s="1" t="s">
        <v>22</v>
      </c>
    </row>
    <row r="244" spans="6:7" x14ac:dyDescent="0.25">
      <c r="F244" s="1" t="s">
        <v>345</v>
      </c>
    </row>
    <row r="245" spans="6:7" x14ac:dyDescent="0.25">
      <c r="F245" s="1" t="s">
        <v>286</v>
      </c>
    </row>
    <row r="246" spans="6:7" x14ac:dyDescent="0.25">
      <c r="F246" s="1" t="s">
        <v>172</v>
      </c>
    </row>
    <row r="247" spans="6:7" x14ac:dyDescent="0.25">
      <c r="F247" s="1" t="s">
        <v>348</v>
      </c>
    </row>
    <row r="248" spans="6:7" x14ac:dyDescent="0.25">
      <c r="F248" s="1" t="s">
        <v>351</v>
      </c>
    </row>
    <row r="249" spans="6:7" x14ac:dyDescent="0.25">
      <c r="F249" s="1" t="s">
        <v>352</v>
      </c>
    </row>
  </sheetData>
  <sheetProtection algorithmName="SHA-512" hashValue="8uMoFkroBJme928ThE8rVyAAIvlgVaJ4T/IB0wrquvfVnkpt2Na+b0Uzo2j5yZGqqsp8ZdvZt7IY3I/ofUqvFw==" saltValue="PCUKULHgcRBzZO7XxAfC7Q==" spinCount="100000" sheet="1" selectLockedCells="1" selectUnlockedCells="1"/>
  <sortState xmlns:xlrd2="http://schemas.microsoft.com/office/spreadsheetml/2017/richdata2" ref="F3:F247">
    <sortCondition ref="F2"/>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文档" ma:contentTypeID="0x010100C479C8B1FA091D45991C677D910AD131" ma:contentTypeVersion="15" ma:contentTypeDescription="新建文档。" ma:contentTypeScope="" ma:versionID="428b4758e78d178e2ef1f8156de3351d">
  <xsd:schema xmlns:xsd="http://www.w3.org/2001/XMLSchema" xmlns:xs="http://www.w3.org/2001/XMLSchema" xmlns:p="http://schemas.microsoft.com/office/2006/metadata/properties" xmlns:ns2="39a57824-e239-468f-bc39-72f234847c5e" xmlns:ns3="f4177a30-2689-49ec-bca7-774181c6970e" targetNamespace="http://schemas.microsoft.com/office/2006/metadata/properties" ma:root="true" ma:fieldsID="255fd6d2290483a65ef17db681429e87" ns2:_="" ns3:_="">
    <xsd:import namespace="39a57824-e239-468f-bc39-72f234847c5e"/>
    <xsd:import namespace="f4177a30-2689-49ec-bca7-774181c6970e"/>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a57824-e239-468f-bc39-72f234847c5e"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图像标记" ma:readOnly="false" ma:fieldId="{5cf76f15-5ced-4ddc-b409-7134ff3c332f}" ma:taxonomyMulti="true" ma:sspId="992fa3da-db31-45ba-92de-38f16e295a42"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177a30-2689-49ec-bca7-774181c6970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8ca9515-5169-4c3c-978c-da78589b6538}" ma:internalName="TaxCatchAll" ma:showField="CatchAllData" ma:web="f4177a30-2689-49ec-bca7-774181c6970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享对象:"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享对象详细信息"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9a57824-e239-468f-bc39-72f234847c5e">
      <Terms xmlns="http://schemas.microsoft.com/office/infopath/2007/PartnerControls"/>
    </lcf76f155ced4ddcb4097134ff3c332f>
    <TaxCatchAll xmlns="f4177a30-2689-49ec-bca7-774181c6970e" xsi:nil="true"/>
  </documentManagement>
</p:properties>
</file>

<file path=customXml/itemProps1.xml><?xml version="1.0" encoding="utf-8"?>
<ds:datastoreItem xmlns:ds="http://schemas.openxmlformats.org/officeDocument/2006/customXml" ds:itemID="{BCEAD1A8-F5C1-49DD-BF80-5026C98E26EC}"/>
</file>

<file path=customXml/itemProps2.xml><?xml version="1.0" encoding="utf-8"?>
<ds:datastoreItem xmlns:ds="http://schemas.openxmlformats.org/officeDocument/2006/customXml" ds:itemID="{544A5C4B-D57D-49C0-BC0D-14808A53CA95}"/>
</file>

<file path=customXml/itemProps3.xml><?xml version="1.0" encoding="utf-8"?>
<ds:datastoreItem xmlns:ds="http://schemas.openxmlformats.org/officeDocument/2006/customXml" ds:itemID="{CB73505F-B421-4774-A7E2-86C0493BF2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Home</vt:lpstr>
      <vt:lpstr>FRGN</vt:lpstr>
      <vt:lpstr>CPNY</vt:lpstr>
      <vt:lpstr>INDV</vt:lpstr>
      <vt:lpstr>STPT</vt:lpstr>
      <vt:lpstr>Drop Down</vt:lpstr>
      <vt:lpstr>CPNY!Print_Area</vt:lpstr>
      <vt:lpstr>FRGN!Print_Area</vt:lpstr>
      <vt:lpstr>INDV!Print_Area</vt:lpstr>
      <vt:lpstr>STPT!Print_Area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Paul Anthony</dc:creator>
  <cp:lastModifiedBy>Tran, Paul Anthony</cp:lastModifiedBy>
  <cp:lastPrinted>2019-09-03T13:30:59Z</cp:lastPrinted>
  <dcterms:created xsi:type="dcterms:W3CDTF">2019-03-12T12:41:53Z</dcterms:created>
  <dcterms:modified xsi:type="dcterms:W3CDTF">2023-02-21T16:54:42Z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0x010100C479C8B1FA091D45991C677D910AD131</vt:lpwstr>
  </property>
</Properties>
</file>